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PROJETO UAI - VERSÃO NOVA\02 - PLANILHA\"/>
    </mc:Choice>
  </mc:AlternateContent>
  <xr:revisionPtr revIDLastSave="0" documentId="13_ncr:1_{C172511C-D2B3-4E6F-91F3-AFA55F9CC52C}" xr6:coauthVersionLast="47" xr6:coauthVersionMax="47" xr10:uidLastSave="{00000000-0000-0000-0000-000000000000}"/>
  <bookViews>
    <workbookView xWindow="-120" yWindow="-120" windowWidth="29040" windowHeight="15720" activeTab="2" xr2:uid="{AFC1CD50-1253-486F-8F2F-5AA539AAE211}"/>
  </bookViews>
  <sheets>
    <sheet name="PLANILHA ORÇAMENTÁRIA " sheetId="2" r:id="rId1"/>
    <sheet name="MEMÓRIA DE CÁLCULO " sheetId="1" r:id="rId2"/>
    <sheet name="CRONOGRAMA" sheetId="3" r:id="rId3"/>
  </sheets>
  <definedNames>
    <definedName name="_xlnm.Print_Area" localSheetId="1">'MEMÓRIA DE CÁLCULO '!$A$1:$K$321</definedName>
    <definedName name="_xlnm.Print_Area" localSheetId="0">'PLANILHA ORÇAMENTÁRIA '!$A$1:$J$169</definedName>
    <definedName name="_xlnm.Print_Titles" localSheetId="1">'MEMÓRIA DE CÁLCULO '!$1:$7</definedName>
    <definedName name="_xlnm.Print_Titles" localSheetId="0">'PLANILHA ORÇAMENTÁRIA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2" l="1"/>
  <c r="J44" i="2" s="1"/>
  <c r="J36" i="2" s="1"/>
  <c r="I44" i="2"/>
  <c r="H43" i="2"/>
  <c r="J43" i="2" s="1"/>
  <c r="I43" i="2"/>
  <c r="I36" i="2" s="1"/>
  <c r="F44" i="2"/>
  <c r="F43" i="2"/>
  <c r="F42" i="2"/>
  <c r="F41" i="2"/>
  <c r="F40" i="2"/>
  <c r="F39" i="2"/>
  <c r="F38" i="2"/>
  <c r="F37" i="2"/>
  <c r="I159" i="2"/>
  <c r="H159" i="2"/>
  <c r="J159" i="2" s="1"/>
  <c r="H57" i="2"/>
  <c r="J57" i="2" s="1"/>
  <c r="I57" i="2"/>
  <c r="H60" i="2"/>
  <c r="J60" i="2" s="1"/>
  <c r="I60" i="2"/>
  <c r="H61" i="2"/>
  <c r="J61" i="2" s="1"/>
  <c r="I61" i="2"/>
  <c r="H62" i="2"/>
  <c r="I62" i="2"/>
  <c r="J62" i="2"/>
  <c r="H63" i="2"/>
  <c r="J63" i="2" s="1"/>
  <c r="I63" i="2"/>
  <c r="H64" i="2"/>
  <c r="J64" i="2" s="1"/>
  <c r="I64" i="2"/>
  <c r="H65" i="2"/>
  <c r="J65" i="2" s="1"/>
  <c r="I65" i="2"/>
  <c r="H66" i="2"/>
  <c r="J66" i="2" s="1"/>
  <c r="I66" i="2"/>
  <c r="H67" i="2"/>
  <c r="I67" i="2"/>
  <c r="J67" i="2"/>
  <c r="H68" i="2"/>
  <c r="J68" i="2" s="1"/>
  <c r="I68" i="2"/>
  <c r="H69" i="2"/>
  <c r="J69" i="2" s="1"/>
  <c r="I69" i="2"/>
  <c r="H70" i="2"/>
  <c r="J70" i="2" s="1"/>
  <c r="I70" i="2"/>
  <c r="H71" i="2"/>
  <c r="I71" i="2"/>
  <c r="J71" i="2"/>
  <c r="H74" i="2"/>
  <c r="J74" i="2" s="1"/>
  <c r="I74" i="2"/>
  <c r="H75" i="2"/>
  <c r="J75" i="2" s="1"/>
  <c r="I75" i="2"/>
  <c r="H76" i="2"/>
  <c r="J76" i="2" s="1"/>
  <c r="I76" i="2"/>
  <c r="H77" i="2"/>
  <c r="J77" i="2" s="1"/>
  <c r="I77" i="2"/>
  <c r="H78" i="2"/>
  <c r="J78" i="2" s="1"/>
  <c r="I78" i="2"/>
  <c r="H79" i="2"/>
  <c r="J79" i="2" s="1"/>
  <c r="I79" i="2"/>
  <c r="H80" i="2"/>
  <c r="J80" i="2" s="1"/>
  <c r="I80" i="2"/>
  <c r="H81" i="2"/>
  <c r="I81" i="2"/>
  <c r="J81" i="2"/>
  <c r="H82" i="2"/>
  <c r="J82" i="2" s="1"/>
  <c r="I82" i="2"/>
  <c r="H83" i="2"/>
  <c r="J83" i="2" s="1"/>
  <c r="I83" i="2"/>
  <c r="H84" i="2"/>
  <c r="I84" i="2"/>
  <c r="J84" i="2"/>
  <c r="H85" i="2"/>
  <c r="J85" i="2" s="1"/>
  <c r="I85" i="2"/>
  <c r="H88" i="2"/>
  <c r="J88" i="2" s="1"/>
  <c r="I88" i="2"/>
  <c r="H89" i="2"/>
  <c r="J89" i="2" s="1"/>
  <c r="I89" i="2"/>
  <c r="H90" i="2"/>
  <c r="I90" i="2"/>
  <c r="J90" i="2"/>
  <c r="H91" i="2"/>
  <c r="I91" i="2"/>
  <c r="J91" i="2"/>
  <c r="H92" i="2"/>
  <c r="J92" i="2" s="1"/>
  <c r="I92" i="2"/>
  <c r="H93" i="2"/>
  <c r="J93" i="2" s="1"/>
  <c r="I93" i="2"/>
  <c r="H94" i="2"/>
  <c r="J94" i="2" s="1"/>
  <c r="I94" i="2"/>
  <c r="H95" i="2"/>
  <c r="I95" i="2"/>
  <c r="J95" i="2"/>
  <c r="H96" i="2"/>
  <c r="J96" i="2" s="1"/>
  <c r="I96" i="2"/>
  <c r="H97" i="2"/>
  <c r="J97" i="2" s="1"/>
  <c r="I97" i="2"/>
  <c r="H98" i="2"/>
  <c r="I98" i="2"/>
  <c r="J98" i="2"/>
  <c r="H99" i="2"/>
  <c r="J99" i="2" s="1"/>
  <c r="I99" i="2"/>
  <c r="H100" i="2"/>
  <c r="J100" i="2" s="1"/>
  <c r="I100" i="2"/>
  <c r="H101" i="2"/>
  <c r="J101" i="2" s="1"/>
  <c r="I101" i="2"/>
  <c r="H102" i="2"/>
  <c r="J102" i="2" s="1"/>
  <c r="I102" i="2"/>
  <c r="H103" i="2"/>
  <c r="I103" i="2"/>
  <c r="J103" i="2"/>
  <c r="H104" i="2"/>
  <c r="J104" i="2" s="1"/>
  <c r="I104" i="2"/>
  <c r="H105" i="2"/>
  <c r="J105" i="2" s="1"/>
  <c r="I105" i="2"/>
  <c r="H106" i="2"/>
  <c r="I106" i="2"/>
  <c r="J106" i="2"/>
  <c r="H107" i="2"/>
  <c r="J107" i="2" s="1"/>
  <c r="I107" i="2"/>
  <c r="H108" i="2"/>
  <c r="J108" i="2" s="1"/>
  <c r="I108" i="2"/>
  <c r="H109" i="2"/>
  <c r="J109" i="2" s="1"/>
  <c r="I109" i="2"/>
  <c r="H110" i="2"/>
  <c r="I110" i="2"/>
  <c r="J110" i="2"/>
  <c r="H111" i="2"/>
  <c r="J111" i="2" s="1"/>
  <c r="I111" i="2"/>
  <c r="H114" i="2"/>
  <c r="J114" i="2" s="1"/>
  <c r="I114" i="2"/>
  <c r="H115" i="2"/>
  <c r="J115" i="2" s="1"/>
  <c r="I115" i="2"/>
  <c r="H116" i="2"/>
  <c r="I116" i="2"/>
  <c r="J116" i="2"/>
  <c r="H117" i="2"/>
  <c r="I117" i="2"/>
  <c r="J117" i="2"/>
  <c r="H118" i="2"/>
  <c r="J118" i="2" s="1"/>
  <c r="I118" i="2"/>
  <c r="H119" i="2"/>
  <c r="J119" i="2" s="1"/>
  <c r="I119" i="2"/>
  <c r="H120" i="2"/>
  <c r="I120" i="2"/>
  <c r="J120" i="2"/>
  <c r="H121" i="2"/>
  <c r="J121" i="2" s="1"/>
  <c r="I121" i="2"/>
  <c r="H122" i="2"/>
  <c r="J122" i="2" s="1"/>
  <c r="I122" i="2"/>
  <c r="H123" i="2"/>
  <c r="J123" i="2" s="1"/>
  <c r="I123" i="2"/>
  <c r="H124" i="2"/>
  <c r="J124" i="2" s="1"/>
  <c r="I124" i="2"/>
  <c r="H125" i="2"/>
  <c r="I125" i="2"/>
  <c r="J125" i="2"/>
  <c r="H126" i="2"/>
  <c r="J126" i="2" s="1"/>
  <c r="I126" i="2"/>
  <c r="H127" i="2"/>
  <c r="J127" i="2" s="1"/>
  <c r="I127" i="2"/>
  <c r="H128" i="2"/>
  <c r="J128" i="2" s="1"/>
  <c r="I128" i="2"/>
  <c r="H129" i="2"/>
  <c r="J129" i="2" s="1"/>
  <c r="I129" i="2"/>
  <c r="H130" i="2"/>
  <c r="J130" i="2" s="1"/>
  <c r="I130" i="2"/>
  <c r="H131" i="2"/>
  <c r="J131" i="2" s="1"/>
  <c r="I131" i="2"/>
  <c r="H132" i="2"/>
  <c r="I132" i="2"/>
  <c r="J132" i="2"/>
  <c r="H133" i="2"/>
  <c r="J133" i="2" s="1"/>
  <c r="I133" i="2"/>
  <c r="H134" i="2"/>
  <c r="J134" i="2" s="1"/>
  <c r="I134" i="2"/>
  <c r="H135" i="2"/>
  <c r="J135" i="2" s="1"/>
  <c r="I135" i="2"/>
  <c r="H136" i="2"/>
  <c r="J136" i="2" s="1"/>
  <c r="I136" i="2"/>
  <c r="H137" i="2"/>
  <c r="I137" i="2"/>
  <c r="J137" i="2"/>
  <c r="H138" i="2"/>
  <c r="J138" i="2" s="1"/>
  <c r="I138" i="2"/>
  <c r="H139" i="2"/>
  <c r="I139" i="2"/>
  <c r="J139" i="2"/>
  <c r="H140" i="2"/>
  <c r="J140" i="2" s="1"/>
  <c r="I140" i="2"/>
  <c r="H141" i="2"/>
  <c r="I141" i="2"/>
  <c r="J141" i="2"/>
  <c r="H142" i="2"/>
  <c r="J142" i="2" s="1"/>
  <c r="I142" i="2"/>
  <c r="H143" i="2"/>
  <c r="J143" i="2" s="1"/>
  <c r="I143" i="2"/>
  <c r="H144" i="2"/>
  <c r="J144" i="2" s="1"/>
  <c r="I144" i="2"/>
  <c r="H145" i="2"/>
  <c r="J145" i="2" s="1"/>
  <c r="I145" i="2"/>
  <c r="H146" i="2"/>
  <c r="J146" i="2" s="1"/>
  <c r="I146" i="2"/>
  <c r="H147" i="2"/>
  <c r="J147" i="2" s="1"/>
  <c r="I147" i="2"/>
  <c r="H148" i="2"/>
  <c r="J148" i="2" s="1"/>
  <c r="I148" i="2"/>
  <c r="H149" i="2"/>
  <c r="J149" i="2" s="1"/>
  <c r="I149" i="2"/>
  <c r="H150" i="2"/>
  <c r="J150" i="2" s="1"/>
  <c r="I150" i="2"/>
  <c r="H151" i="2"/>
  <c r="I151" i="2"/>
  <c r="J151" i="2"/>
  <c r="H152" i="2"/>
  <c r="J152" i="2" s="1"/>
  <c r="I152" i="2"/>
  <c r="H153" i="2"/>
  <c r="J153" i="2" s="1"/>
  <c r="I153" i="2"/>
  <c r="H154" i="2"/>
  <c r="J154" i="2" s="1"/>
  <c r="I154" i="2"/>
  <c r="H155" i="2"/>
  <c r="J155" i="2" s="1"/>
  <c r="I155" i="2"/>
  <c r="H156" i="2"/>
  <c r="I156" i="2"/>
  <c r="J156" i="2"/>
  <c r="J112" i="1"/>
  <c r="J111" i="1"/>
  <c r="J159" i="1"/>
  <c r="J310" i="1"/>
  <c r="J311" i="1"/>
  <c r="J253" i="1"/>
  <c r="J254" i="1"/>
  <c r="J255" i="1"/>
  <c r="J256" i="1"/>
  <c r="J257" i="1"/>
  <c r="E105" i="1"/>
  <c r="D105" i="1"/>
  <c r="D53" i="1"/>
  <c r="J45" i="1"/>
  <c r="J46" i="1"/>
  <c r="J47" i="1"/>
  <c r="J48" i="1"/>
  <c r="D58" i="1"/>
  <c r="J58" i="1" s="1"/>
  <c r="J59" i="1" s="1"/>
  <c r="J235" i="1" l="1"/>
  <c r="J236" i="1"/>
  <c r="J237" i="1"/>
  <c r="J238" i="1"/>
  <c r="J239" i="1"/>
  <c r="J240" i="1"/>
  <c r="D216" i="1"/>
  <c r="D217" i="1"/>
  <c r="D229" i="1" s="1"/>
  <c r="J229" i="1" s="1"/>
  <c r="D218" i="1"/>
  <c r="D230" i="1" s="1"/>
  <c r="J230" i="1" s="1"/>
  <c r="D219" i="1"/>
  <c r="D231" i="1" s="1"/>
  <c r="J231" i="1" s="1"/>
  <c r="D220" i="1"/>
  <c r="D232" i="1" s="1"/>
  <c r="J232" i="1" s="1"/>
  <c r="D221" i="1"/>
  <c r="D233" i="1" s="1"/>
  <c r="J233" i="1" s="1"/>
  <c r="D222" i="1"/>
  <c r="D234" i="1" s="1"/>
  <c r="J234" i="1" s="1"/>
  <c r="D215" i="1"/>
  <c r="D227" i="1" s="1"/>
  <c r="J227" i="1" s="1"/>
  <c r="A216" i="1"/>
  <c r="A228" i="1" s="1"/>
  <c r="A217" i="1"/>
  <c r="A229" i="1" s="1"/>
  <c r="A218" i="1"/>
  <c r="A230" i="1" s="1"/>
  <c r="A219" i="1"/>
  <c r="A231" i="1" s="1"/>
  <c r="A220" i="1"/>
  <c r="A232" i="1" s="1"/>
  <c r="A221" i="1"/>
  <c r="A233" i="1" s="1"/>
  <c r="A222" i="1"/>
  <c r="A234" i="1" s="1"/>
  <c r="A215" i="1"/>
  <c r="A227" i="1" s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196" i="1"/>
  <c r="E197" i="1"/>
  <c r="E198" i="1"/>
  <c r="E199" i="1"/>
  <c r="E200" i="1"/>
  <c r="E201" i="1"/>
  <c r="E202" i="1"/>
  <c r="E203" i="1"/>
  <c r="E205" i="1"/>
  <c r="E206" i="1"/>
  <c r="E207" i="1"/>
  <c r="E208" i="1"/>
  <c r="E209" i="1"/>
  <c r="E210" i="1"/>
  <c r="E196" i="1"/>
  <c r="A210" i="1"/>
  <c r="A197" i="1"/>
  <c r="A198" i="1"/>
  <c r="A199" i="1"/>
  <c r="A200" i="1"/>
  <c r="A201" i="1"/>
  <c r="A202" i="1"/>
  <c r="A203" i="1"/>
  <c r="A204" i="1"/>
  <c r="A235" i="1" s="1"/>
  <c r="A205" i="1"/>
  <c r="A236" i="1" s="1"/>
  <c r="A206" i="1"/>
  <c r="A237" i="1" s="1"/>
  <c r="A207" i="1"/>
  <c r="A238" i="1" s="1"/>
  <c r="A208" i="1"/>
  <c r="A239" i="1" s="1"/>
  <c r="A209" i="1"/>
  <c r="A240" i="1" s="1"/>
  <c r="A196" i="1"/>
  <c r="D186" i="1"/>
  <c r="J186" i="1" s="1"/>
  <c r="D185" i="1"/>
  <c r="J185" i="1" s="1"/>
  <c r="D184" i="1"/>
  <c r="J184" i="1" s="1"/>
  <c r="D183" i="1"/>
  <c r="J183" i="1" s="1"/>
  <c r="D182" i="1"/>
  <c r="J182" i="1" s="1"/>
  <c r="D181" i="1"/>
  <c r="J181" i="1" s="1"/>
  <c r="D180" i="1"/>
  <c r="E180" i="1"/>
  <c r="E204" i="1" s="1"/>
  <c r="D179" i="1"/>
  <c r="J179" i="1" s="1"/>
  <c r="D178" i="1"/>
  <c r="J178" i="1" s="1"/>
  <c r="D177" i="1"/>
  <c r="J177" i="1" s="1"/>
  <c r="D176" i="1"/>
  <c r="J176" i="1" s="1"/>
  <c r="D175" i="1"/>
  <c r="J175" i="1" s="1"/>
  <c r="D174" i="1"/>
  <c r="J174" i="1" s="1"/>
  <c r="D173" i="1"/>
  <c r="J173" i="1" s="1"/>
  <c r="D172" i="1"/>
  <c r="D196" i="1" s="1"/>
  <c r="D166" i="1"/>
  <c r="J166" i="1" s="1"/>
  <c r="D165" i="1"/>
  <c r="D167" i="1"/>
  <c r="J167" i="1" s="1"/>
  <c r="D153" i="1"/>
  <c r="D152" i="1"/>
  <c r="D151" i="1"/>
  <c r="A153" i="1"/>
  <c r="A152" i="1"/>
  <c r="D145" i="1"/>
  <c r="J145" i="1" s="1"/>
  <c r="D144" i="1"/>
  <c r="J144" i="1" s="1"/>
  <c r="D143" i="1"/>
  <c r="J143" i="1" s="1"/>
  <c r="D141" i="1"/>
  <c r="J141" i="1" s="1"/>
  <c r="D136" i="1"/>
  <c r="J136" i="1" s="1"/>
  <c r="D134" i="1"/>
  <c r="J135" i="1"/>
  <c r="J137" i="1"/>
  <c r="J138" i="1"/>
  <c r="J139" i="1"/>
  <c r="J140" i="1"/>
  <c r="J142" i="1"/>
  <c r="A142" i="1"/>
  <c r="A143" i="1"/>
  <c r="A144" i="1"/>
  <c r="A145" i="1"/>
  <c r="J124" i="1"/>
  <c r="J125" i="1"/>
  <c r="J126" i="1"/>
  <c r="J127" i="1"/>
  <c r="J128" i="1"/>
  <c r="J129" i="1"/>
  <c r="J93" i="1"/>
  <c r="J94" i="1"/>
  <c r="J95" i="1"/>
  <c r="J96" i="1"/>
  <c r="J97" i="1"/>
  <c r="J98" i="1"/>
  <c r="J99" i="1"/>
  <c r="D71" i="1"/>
  <c r="J66" i="1"/>
  <c r="D64" i="1"/>
  <c r="D65" i="1"/>
  <c r="J65" i="1" s="1"/>
  <c r="D33" i="1"/>
  <c r="D32" i="1"/>
  <c r="J18" i="1"/>
  <c r="J19" i="1"/>
  <c r="D21" i="1"/>
  <c r="J21" i="1" s="1"/>
  <c r="D20" i="1"/>
  <c r="J20" i="1" s="1"/>
  <c r="D17" i="1"/>
  <c r="J180" i="1" l="1"/>
  <c r="D200" i="1"/>
  <c r="J200" i="1" s="1"/>
  <c r="D228" i="1"/>
  <c r="J228" i="1" s="1"/>
  <c r="J241" i="1" s="1"/>
  <c r="D203" i="1"/>
  <c r="J203" i="1" s="1"/>
  <c r="D209" i="1"/>
  <c r="J209" i="1" s="1"/>
  <c r="D207" i="1"/>
  <c r="J207" i="1" s="1"/>
  <c r="D205" i="1"/>
  <c r="J205" i="1" s="1"/>
  <c r="D202" i="1"/>
  <c r="J202" i="1" s="1"/>
  <c r="D201" i="1"/>
  <c r="J201" i="1" s="1"/>
  <c r="D199" i="1"/>
  <c r="J199" i="1" s="1"/>
  <c r="D210" i="1"/>
  <c r="J210" i="1" s="1"/>
  <c r="D198" i="1"/>
  <c r="J198" i="1" s="1"/>
  <c r="D197" i="1"/>
  <c r="J197" i="1" s="1"/>
  <c r="D208" i="1"/>
  <c r="J208" i="1" s="1"/>
  <c r="D206" i="1"/>
  <c r="J206" i="1" s="1"/>
  <c r="D204" i="1"/>
  <c r="J204" i="1" s="1"/>
  <c r="H73" i="2"/>
  <c r="J73" i="2" s="1"/>
  <c r="J72" i="2" s="1"/>
  <c r="I73" i="2"/>
  <c r="I72" i="2" s="1"/>
  <c r="C307" i="1" l="1"/>
  <c r="C297" i="1"/>
  <c r="C302" i="1"/>
  <c r="C292" i="1"/>
  <c r="C287" i="1"/>
  <c r="C282" i="1"/>
  <c r="C276" i="1"/>
  <c r="C271" i="1"/>
  <c r="C266" i="1"/>
  <c r="C261" i="1"/>
  <c r="C225" i="1"/>
  <c r="C213" i="1"/>
  <c r="C194" i="1"/>
  <c r="C189" i="1"/>
  <c r="C170" i="1"/>
  <c r="C163" i="1"/>
  <c r="C156" i="1"/>
  <c r="C148" i="1"/>
  <c r="C132" i="1"/>
  <c r="C114" i="1"/>
  <c r="C108" i="1"/>
  <c r="C103" i="1"/>
  <c r="C90" i="1"/>
  <c r="C84" i="1"/>
  <c r="C79" i="1"/>
  <c r="C74" i="1"/>
  <c r="C69" i="1"/>
  <c r="C62" i="1"/>
  <c r="C51" i="1"/>
  <c r="C42" i="1"/>
  <c r="C36" i="1"/>
  <c r="C30" i="1"/>
  <c r="C24" i="1"/>
  <c r="C15" i="1"/>
  <c r="C9" i="1"/>
  <c r="H52" i="2"/>
  <c r="H53" i="2"/>
  <c r="H54" i="2"/>
  <c r="H55" i="2"/>
  <c r="H56" i="2"/>
  <c r="J56" i="2" s="1"/>
  <c r="I56" i="2"/>
  <c r="H47" i="2"/>
  <c r="H48" i="2"/>
  <c r="H49" i="2"/>
  <c r="H38" i="2"/>
  <c r="H39" i="2"/>
  <c r="H40" i="2"/>
  <c r="H41" i="2"/>
  <c r="H42" i="2"/>
  <c r="J42" i="2" s="1"/>
  <c r="I42" i="2"/>
  <c r="H30" i="2"/>
  <c r="H31" i="2"/>
  <c r="H32" i="2"/>
  <c r="H33" i="2"/>
  <c r="H34" i="2"/>
  <c r="H35" i="2"/>
  <c r="H23" i="2"/>
  <c r="H24" i="2"/>
  <c r="H25" i="2"/>
  <c r="H26" i="2"/>
  <c r="H16" i="2"/>
  <c r="H17" i="2"/>
  <c r="H18" i="2"/>
  <c r="H19" i="2"/>
  <c r="H20" i="2"/>
  <c r="H13" i="2"/>
  <c r="J196" i="1" l="1"/>
  <c r="E110" i="1"/>
  <c r="D110" i="1"/>
  <c r="D117" i="1"/>
  <c r="J117" i="1" s="1"/>
  <c r="D118" i="1"/>
  <c r="J118" i="1" s="1"/>
  <c r="D119" i="1"/>
  <c r="J119" i="1" s="1"/>
  <c r="D120" i="1"/>
  <c r="J120" i="1" s="1"/>
  <c r="D121" i="1"/>
  <c r="J121" i="1" s="1"/>
  <c r="D122" i="1"/>
  <c r="J122" i="1" s="1"/>
  <c r="D123" i="1"/>
  <c r="J123" i="1" s="1"/>
  <c r="D116" i="1"/>
  <c r="A117" i="1"/>
  <c r="A135" i="1" s="1"/>
  <c r="A118" i="1"/>
  <c r="A119" i="1"/>
  <c r="A137" i="1" s="1"/>
  <c r="A120" i="1"/>
  <c r="A138" i="1" s="1"/>
  <c r="A121" i="1"/>
  <c r="A122" i="1"/>
  <c r="A123" i="1"/>
  <c r="A116" i="1"/>
  <c r="A134" i="1" s="1"/>
  <c r="D86" i="1"/>
  <c r="J211" i="1" l="1"/>
  <c r="J40" i="2" s="1"/>
  <c r="A140" i="1"/>
  <c r="A139" i="1"/>
  <c r="A136" i="1"/>
  <c r="A141" i="1"/>
  <c r="A150" i="1"/>
  <c r="A151" i="1"/>
  <c r="J215" i="1"/>
  <c r="J7" i="3"/>
  <c r="K14" i="3"/>
  <c r="K16" i="3"/>
  <c r="K18" i="3"/>
  <c r="K20" i="3"/>
  <c r="K22" i="3"/>
  <c r="K24" i="3"/>
  <c r="K26" i="3"/>
  <c r="K28" i="3"/>
  <c r="K30" i="3"/>
  <c r="K32" i="3"/>
  <c r="K34" i="3"/>
  <c r="K36" i="3"/>
  <c r="K12" i="3"/>
  <c r="I3" i="3"/>
  <c r="B36" i="3"/>
  <c r="B34" i="3"/>
  <c r="B32" i="3"/>
  <c r="B30" i="3"/>
  <c r="B28" i="3"/>
  <c r="B26" i="3"/>
  <c r="B24" i="3"/>
  <c r="B22" i="3"/>
  <c r="B20" i="3"/>
  <c r="B18" i="3"/>
  <c r="B16" i="3"/>
  <c r="B14" i="3"/>
  <c r="B12" i="3"/>
  <c r="J158" i="1"/>
  <c r="J160" i="1" s="1"/>
  <c r="J71" i="1"/>
  <c r="J72" i="1" s="1"/>
  <c r="J44" i="1"/>
  <c r="J49" i="1" s="1"/>
  <c r="J39" i="1"/>
  <c r="J26" i="1"/>
  <c r="J27" i="1"/>
  <c r="H158" i="2"/>
  <c r="I113" i="2"/>
  <c r="I112" i="2" s="1"/>
  <c r="H113" i="2"/>
  <c r="J113" i="2" s="1"/>
  <c r="J112" i="2" s="1"/>
  <c r="I87" i="2"/>
  <c r="I86" i="2" s="1"/>
  <c r="H87" i="2"/>
  <c r="J87" i="2" s="1"/>
  <c r="J86" i="2" s="1"/>
  <c r="H59" i="2"/>
  <c r="H51" i="2"/>
  <c r="H46" i="2"/>
  <c r="H37" i="2"/>
  <c r="H28" i="2"/>
  <c r="H22" i="2"/>
  <c r="H15" i="2"/>
  <c r="I40" i="2" l="1"/>
  <c r="F23" i="2"/>
  <c r="I23" i="2" s="1"/>
  <c r="D191" i="1"/>
  <c r="J191" i="1" s="1"/>
  <c r="J192" i="1" s="1"/>
  <c r="J28" i="1"/>
  <c r="D33" i="3"/>
  <c r="J222" i="1"/>
  <c r="J219" i="1"/>
  <c r="J217" i="1"/>
  <c r="J220" i="1"/>
  <c r="J216" i="1"/>
  <c r="J221" i="1"/>
  <c r="J218" i="1"/>
  <c r="D35" i="3"/>
  <c r="E35" i="3" s="1"/>
  <c r="J23" i="2" l="1"/>
  <c r="I39" i="2"/>
  <c r="J39" i="2"/>
  <c r="E33" i="3"/>
  <c r="G33" i="3"/>
  <c r="I33" i="3"/>
  <c r="J223" i="1"/>
  <c r="J92" i="1"/>
  <c r="I41" i="2" l="1"/>
  <c r="J41" i="2"/>
  <c r="J100" i="1"/>
  <c r="F28" i="2" s="1"/>
  <c r="J105" i="1"/>
  <c r="J106" i="1" s="1"/>
  <c r="F30" i="2" s="1"/>
  <c r="J245" i="1"/>
  <c r="J246" i="1"/>
  <c r="J247" i="1"/>
  <c r="J172" i="1"/>
  <c r="J187" i="1" s="1"/>
  <c r="J152" i="1"/>
  <c r="J153" i="1"/>
  <c r="J151" i="1"/>
  <c r="J110" i="1"/>
  <c r="J86" i="1"/>
  <c r="J64" i="1"/>
  <c r="J67" i="1" s="1"/>
  <c r="J53" i="1"/>
  <c r="J33" i="1"/>
  <c r="J32" i="1"/>
  <c r="A33" i="1"/>
  <c r="A32" i="1"/>
  <c r="J17" i="1"/>
  <c r="J22" i="1" s="1"/>
  <c r="I30" i="2" l="1"/>
  <c r="J30" i="2"/>
  <c r="I28" i="2"/>
  <c r="I27" i="2" s="1"/>
  <c r="J28" i="2"/>
  <c r="J27" i="2" s="1"/>
  <c r="D19" i="3" s="1"/>
  <c r="G19" i="3" s="1"/>
  <c r="F22" i="2"/>
  <c r="J87" i="1"/>
  <c r="F26" i="2" s="1"/>
  <c r="J34" i="1"/>
  <c r="F17" i="2" s="1"/>
  <c r="F15" i="2"/>
  <c r="I17" i="2" l="1"/>
  <c r="J17" i="2"/>
  <c r="I26" i="2"/>
  <c r="J26" i="2"/>
  <c r="I38" i="2"/>
  <c r="J38" i="2"/>
  <c r="D76" i="1"/>
  <c r="D81" i="1" s="1"/>
  <c r="J81" i="1" s="1"/>
  <c r="J82" i="1" s="1"/>
  <c r="F25" i="2" s="1"/>
  <c r="I22" i="2"/>
  <c r="J22" i="2"/>
  <c r="I15" i="2"/>
  <c r="J15" i="2"/>
  <c r="I25" i="2" l="1"/>
  <c r="J25" i="2"/>
  <c r="J76" i="1"/>
  <c r="J77" i="1" s="1"/>
  <c r="F24" i="2" s="1"/>
  <c r="I24" i="2" l="1"/>
  <c r="I21" i="2" s="1"/>
  <c r="J24" i="2"/>
  <c r="J21" i="2" s="1"/>
  <c r="D17" i="3" s="1"/>
  <c r="I3" i="2"/>
  <c r="E17" i="3" l="1"/>
  <c r="G17" i="3"/>
  <c r="J309" i="1"/>
  <c r="J312" i="1" s="1"/>
  <c r="J304" i="1"/>
  <c r="J305" i="1" s="1"/>
  <c r="F55" i="2" s="1"/>
  <c r="J299" i="1"/>
  <c r="J300" i="1" s="1"/>
  <c r="F54" i="2" s="1"/>
  <c r="J294" i="1"/>
  <c r="J295" i="1" s="1"/>
  <c r="F53" i="2" s="1"/>
  <c r="J278" i="1"/>
  <c r="J279" i="1" s="1"/>
  <c r="F49" i="2" s="1"/>
  <c r="J273" i="1"/>
  <c r="J274" i="1" s="1"/>
  <c r="F48" i="2" s="1"/>
  <c r="J268" i="1"/>
  <c r="J269" i="1" s="1"/>
  <c r="F47" i="2" s="1"/>
  <c r="J150" i="1"/>
  <c r="I55" i="2" l="1"/>
  <c r="J55" i="2"/>
  <c r="J47" i="2"/>
  <c r="I47" i="2"/>
  <c r="I48" i="2"/>
  <c r="J48" i="2"/>
  <c r="I53" i="2"/>
  <c r="J53" i="2"/>
  <c r="I49" i="2"/>
  <c r="J49" i="2"/>
  <c r="I54" i="2"/>
  <c r="J54" i="2"/>
  <c r="J154" i="1"/>
  <c r="F34" i="2" s="1"/>
  <c r="J165" i="1"/>
  <c r="J168" i="1" s="1"/>
  <c r="F35" i="2"/>
  <c r="J134" i="1"/>
  <c r="J146" i="1" s="1"/>
  <c r="F19" i="2"/>
  <c r="J38" i="1"/>
  <c r="J40" i="1" s="1"/>
  <c r="F18" i="2" s="1"/>
  <c r="F16" i="2"/>
  <c r="J19" i="2" l="1"/>
  <c r="I19" i="2"/>
  <c r="I18" i="2"/>
  <c r="J18" i="2"/>
  <c r="I35" i="2"/>
  <c r="J35" i="2"/>
  <c r="I16" i="2"/>
  <c r="J16" i="2"/>
  <c r="I34" i="2"/>
  <c r="J34" i="2"/>
  <c r="F31" i="2"/>
  <c r="J54" i="1"/>
  <c r="F20" i="2" s="1"/>
  <c r="J252" i="1"/>
  <c r="J258" i="1" s="1"/>
  <c r="I37" i="2" l="1"/>
  <c r="J37" i="2"/>
  <c r="D23" i="3" s="1"/>
  <c r="I23" i="3" s="1"/>
  <c r="I20" i="2"/>
  <c r="J20" i="2"/>
  <c r="I31" i="2"/>
  <c r="J31" i="2"/>
  <c r="F33" i="2"/>
  <c r="J116" i="1"/>
  <c r="J130" i="1" s="1"/>
  <c r="J248" i="1"/>
  <c r="J11" i="1"/>
  <c r="J263" i="1"/>
  <c r="I33" i="2" l="1"/>
  <c r="J33" i="2"/>
  <c r="J14" i="2"/>
  <c r="D15" i="3" s="1"/>
  <c r="E15" i="3" s="1"/>
  <c r="I14" i="2"/>
  <c r="F32" i="2"/>
  <c r="F158" i="2" s="1"/>
  <c r="J289" i="1"/>
  <c r="J290" i="1" s="1"/>
  <c r="F52" i="2" s="1"/>
  <c r="J284" i="1"/>
  <c r="J285" i="1" s="1"/>
  <c r="F51" i="2" s="1"/>
  <c r="J264" i="1"/>
  <c r="F46" i="2" s="1"/>
  <c r="I158" i="2" l="1"/>
  <c r="I157" i="2" s="1"/>
  <c r="J158" i="2"/>
  <c r="I46" i="2"/>
  <c r="I45" i="2" s="1"/>
  <c r="J46" i="2"/>
  <c r="J45" i="2" s="1"/>
  <c r="D25" i="3" s="1"/>
  <c r="I25" i="3" s="1"/>
  <c r="I51" i="2"/>
  <c r="J51" i="2"/>
  <c r="I52" i="2"/>
  <c r="J52" i="2"/>
  <c r="J32" i="2"/>
  <c r="J29" i="2" s="1"/>
  <c r="D21" i="3" s="1"/>
  <c r="E21" i="3" s="1"/>
  <c r="I32" i="2"/>
  <c r="I29" i="2" s="1"/>
  <c r="I59" i="2"/>
  <c r="I58" i="2" s="1"/>
  <c r="J59" i="2"/>
  <c r="J58" i="2" s="1"/>
  <c r="I50" i="2" l="1"/>
  <c r="J50" i="2"/>
  <c r="J157" i="2"/>
  <c r="D37" i="3" s="1"/>
  <c r="I37" i="3" s="1"/>
  <c r="D29" i="3"/>
  <c r="G29" i="3" s="1"/>
  <c r="D31" i="3"/>
  <c r="G31" i="3" s="1"/>
  <c r="G39" i="3" l="1"/>
  <c r="D27" i="3" l="1"/>
  <c r="I27" i="3" s="1"/>
  <c r="I39" i="3" s="1"/>
  <c r="J12" i="1"/>
  <c r="F13" i="2" s="1"/>
  <c r="I3" i="1"/>
  <c r="I13" i="2" l="1"/>
  <c r="I12" i="2" s="1"/>
  <c r="I11" i="2" s="1"/>
  <c r="J13" i="2"/>
  <c r="J12" i="2" s="1"/>
  <c r="J11" i="2" s="1"/>
  <c r="J160" i="2" l="1"/>
  <c r="D13" i="3"/>
  <c r="D39" i="3" s="1"/>
  <c r="E13" i="3" l="1"/>
  <c r="E39" i="3" s="1"/>
  <c r="D28" i="3"/>
  <c r="D20" i="3" l="1"/>
  <c r="D24" i="3"/>
  <c r="D14" i="3"/>
  <c r="D26" i="3"/>
  <c r="I38" i="3"/>
  <c r="D18" i="3"/>
  <c r="D12" i="3"/>
  <c r="G38" i="3"/>
  <c r="D16" i="3"/>
  <c r="E38" i="3"/>
  <c r="D36" i="3"/>
  <c r="D22" i="3"/>
  <c r="D32" i="3"/>
  <c r="D34" i="3"/>
  <c r="D30" i="3"/>
  <c r="D38" i="3" l="1"/>
  <c r="K38" i="3"/>
</calcChain>
</file>

<file path=xl/sharedStrings.xml><?xml version="1.0" encoding="utf-8"?>
<sst xmlns="http://schemas.openxmlformats.org/spreadsheetml/2006/main" count="1282" uniqueCount="637">
  <si>
    <t>DESCRIÇÃO DA OBRA:</t>
  </si>
  <si>
    <t>RESPONSÁVEL TECNICO:</t>
  </si>
  <si>
    <t>ENDEREÇO:</t>
  </si>
  <si>
    <t>ITEM:</t>
  </si>
  <si>
    <t>Descrição</t>
  </si>
  <si>
    <t>Comprimento (m)</t>
  </si>
  <si>
    <t>Repetição</t>
  </si>
  <si>
    <t xml:space="preserve">Observações </t>
  </si>
  <si>
    <t>Art.:</t>
  </si>
  <si>
    <t>Data:</t>
  </si>
  <si>
    <t>ISS:</t>
  </si>
  <si>
    <t>BDI:</t>
  </si>
  <si>
    <t>TOTAL</t>
  </si>
  <si>
    <t>OBRA :</t>
  </si>
  <si>
    <t>1.0</t>
  </si>
  <si>
    <t>1.1</t>
  </si>
  <si>
    <t>1.1.1</t>
  </si>
  <si>
    <t>1.2.1</t>
  </si>
  <si>
    <t>SERVIÇOS PRELIMINARES</t>
  </si>
  <si>
    <t>Área Total (m²)</t>
  </si>
  <si>
    <t>Placa de Obra (3,00x1,50)</t>
  </si>
  <si>
    <t>1.2</t>
  </si>
  <si>
    <t>Comprimento Total (m)</t>
  </si>
  <si>
    <t xml:space="preserve">KÁREN MARIANA SOARES VIEIRA </t>
  </si>
  <si>
    <t>ENGENHEIRA CIVIL 332.425/D-MG</t>
  </si>
  <si>
    <t>PREFEITURA MUNICIPAL DE GLAUCILÂNDIA-MG</t>
  </si>
  <si>
    <t>KÁREN MARIANA SOARES VIEIRA</t>
  </si>
  <si>
    <t>Altura (m)</t>
  </si>
  <si>
    <t xml:space="preserve">Nº de Lados </t>
  </si>
  <si>
    <t>1.2.2</t>
  </si>
  <si>
    <t>Espessura (m)</t>
  </si>
  <si>
    <t>Volume Total (m³)</t>
  </si>
  <si>
    <t>Largura (m)</t>
  </si>
  <si>
    <t>1.2.3</t>
  </si>
  <si>
    <t>1.2.4</t>
  </si>
  <si>
    <t>1.2.5</t>
  </si>
  <si>
    <t>PINTURA</t>
  </si>
  <si>
    <t>Área (m²)</t>
  </si>
  <si>
    <t>PINTURA TINTA DE ACABAMENTO (PIGMENTADA) ESMALTE SINTÉTICO BRILHANTE EM MADEIRA, 2 DEMÃOS. AF_01/2021</t>
  </si>
  <si>
    <t xml:space="preserve">ESQUADRIAS </t>
  </si>
  <si>
    <t>Unidade (Unid)</t>
  </si>
  <si>
    <t>PORTA 80X210</t>
  </si>
  <si>
    <t>Unidade (UNID)</t>
  </si>
  <si>
    <t xml:space="preserve">METAIS 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</si>
  <si>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</si>
  <si>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PINTURA ESMALTE BASE SOLVENTE EM ESTRUTURA METÁLICA, DUAS (2) DEMÃOS, COM APLICAÇÃO MANUAL, INCLUSIVE UMA (1) DEMÃO FUNDO GALVANIZADO</t>
  </si>
  <si>
    <t>COBERTURA</t>
  </si>
  <si>
    <t>1.2.6</t>
  </si>
  <si>
    <t>PISOS E REVESTIMENTOS</t>
  </si>
  <si>
    <t>1.4</t>
  </si>
  <si>
    <t>1.4.1</t>
  </si>
  <si>
    <t>REVESTIMENTO CERÂMICO PARA PAREDES INTERNAS COM PLACAS TIPO ESMALTADA DE DIMENSÕES 33X45 CM APLICADAS NA ALTURA INTEIRA DAS PAREDES. AF_02/2023_PE</t>
  </si>
  <si>
    <t>PORTA 70X210</t>
  </si>
  <si>
    <t>PORTA 90X210</t>
  </si>
  <si>
    <t>1.5</t>
  </si>
  <si>
    <t>1.5.1</t>
  </si>
  <si>
    <t>1.5.2</t>
  </si>
  <si>
    <t>1.5.3</t>
  </si>
  <si>
    <t>1.5.4</t>
  </si>
  <si>
    <t>1.5.5</t>
  </si>
  <si>
    <t>1.5.6</t>
  </si>
  <si>
    <t>JANELA EM ALUMÍNIO FIXA COMPLETA, LINHA 25/SUPREMA, ACABAMENTO ANODIZADO NATURAL, INCLUSIVE PERFIS E VIDRO LISO 4MM E INSTALAÇÃO</t>
  </si>
  <si>
    <t>1.6</t>
  </si>
  <si>
    <t>1.6.1</t>
  </si>
  <si>
    <t>1.6.2</t>
  </si>
  <si>
    <t>1.6.3</t>
  </si>
  <si>
    <t>1.6.4</t>
  </si>
  <si>
    <t>1.6.5</t>
  </si>
  <si>
    <t>1.7</t>
  </si>
  <si>
    <t>1.7.1</t>
  </si>
  <si>
    <t>1.7.2</t>
  </si>
  <si>
    <t>1.7.3</t>
  </si>
  <si>
    <t>1.7.4</t>
  </si>
  <si>
    <t>BANCADA EM GRANITO, COR CINZA ANDORINHA, ESP. 2CM, ACABAMENTO POLIDO, APOIADA EM CONSOLE DE METALON (50X30)MM, EXCLUSIVE RODABANCA/FRONTÃO, TESTEIRA/FAIXA, FURO EM BANCADA, CUBA METÁLICA, VÁLVULA, SIFÃO, TORNEIRA E ENGATE FLEXÍVEL</t>
  </si>
  <si>
    <t>BARRA DE APOIO EM AÇO INOX POLIDO RETA, DIÂMETRO DE 1.1/4", PARA ACESSIBILIDADE (PMR/PCR), COMPRIMENTO 80CM, INSTALADO EM PAREDE, INCLUSIVE ACESSÓRIOS PARA FIXAÇÃO</t>
  </si>
  <si>
    <t>BARRA DE APOIO EM AÇO INOX POLIDO RETA, DIÂMETRO DE 1.1/4", PARA ACESSIBILIDADE (PMR/PCR), COMPRIMENTO 40CM, INSTALADO EM PORTA/PAREDE, INCLUSIVE ACESSÓRIOS PARA FIXAÇÃO</t>
  </si>
  <si>
    <t>1.8</t>
  </si>
  <si>
    <t>1.8.1</t>
  </si>
  <si>
    <t>REBOCO COM ARGAMASSA, TRAÇO 1:2:8 (CIMENTO, CAL E AREIA), ESP. 20MM, APLICAÇÃO MANUAL, INCLUSIVE ARGAMASSA COM PREPARO MECANIZADO, EXCLUSIVE CHAPISCO</t>
  </si>
  <si>
    <t>FUNDO SELADOR ACRÍLICO, APLICAÇÃO MANUAL EM PAREDE, UMA DEMÃO. AF_04/2023</t>
  </si>
  <si>
    <t>1.9</t>
  </si>
  <si>
    <t>ITEM</t>
  </si>
  <si>
    <t>CÓDIGO</t>
  </si>
  <si>
    <t>DESCRIÇÃO</t>
  </si>
  <si>
    <t>FONTE</t>
  </si>
  <si>
    <t>UNID</t>
  </si>
  <si>
    <t>QUANTIDADE</t>
  </si>
  <si>
    <t>PREÇO UNITÁRIO R$</t>
  </si>
  <si>
    <t>PREÇO TOTAL R$</t>
  </si>
  <si>
    <t>SEM BDI</t>
  </si>
  <si>
    <t>COM BDI</t>
  </si>
  <si>
    <t>1</t>
  </si>
  <si>
    <t>ED-28427</t>
  </si>
  <si>
    <t>SETOP</t>
  </si>
  <si>
    <t>un</t>
  </si>
  <si>
    <t>SINAPI</t>
  </si>
  <si>
    <t>M2</t>
  </si>
  <si>
    <t>m2</t>
  </si>
  <si>
    <t>M</t>
  </si>
  <si>
    <t>1.3</t>
  </si>
  <si>
    <t>INSTALAÇÕES ELÉTRICAS</t>
  </si>
  <si>
    <t>1.3.1</t>
  </si>
  <si>
    <t>1.3.2</t>
  </si>
  <si>
    <t>1.3.3</t>
  </si>
  <si>
    <t>1.3.4</t>
  </si>
  <si>
    <t>1.3.5</t>
  </si>
  <si>
    <t>UN</t>
  </si>
  <si>
    <t>87273</t>
  </si>
  <si>
    <t>M3</t>
  </si>
  <si>
    <t>ED-50505</t>
  </si>
  <si>
    <t>LIXAMENTO MANUAL EM PAREDE PARA REMOÇÃO DE TINTA</t>
  </si>
  <si>
    <t>88485</t>
  </si>
  <si>
    <t>ESQUADRIAS</t>
  </si>
  <si>
    <t>91315</t>
  </si>
  <si>
    <t>ED-29483</t>
  </si>
  <si>
    <t>ED-21631</t>
  </si>
  <si>
    <t>ED-48160</t>
  </si>
  <si>
    <t>ED-48163</t>
  </si>
  <si>
    <t>1.8.2</t>
  </si>
  <si>
    <t>1.8.3</t>
  </si>
  <si>
    <t>1.8.4</t>
  </si>
  <si>
    <t>1.8.5</t>
  </si>
  <si>
    <t>1.8.6</t>
  </si>
  <si>
    <t>ED-50761</t>
  </si>
  <si>
    <t>VALOR TOTAL:</t>
  </si>
  <si>
    <t>PLANILHA ORÇAMENTÁRIA DE CUSTOS</t>
  </si>
  <si>
    <t>DATA:</t>
  </si>
  <si>
    <t>ART.:</t>
  </si>
  <si>
    <r>
      <rPr>
        <b/>
        <sz val="12"/>
        <rFont val="Times New Roman"/>
        <family val="1"/>
      </rPr>
      <t>RESPONSÁVEL TECNICO:</t>
    </r>
    <r>
      <rPr>
        <sz val="12"/>
        <rFont val="Times New Roman"/>
        <family val="1"/>
      </rPr>
      <t xml:space="preserve"> KÁREN MARIANA SOARES VIEIRA .</t>
    </r>
  </si>
  <si>
    <t xml:space="preserve">FORMA DE EXECUÇÃO: </t>
  </si>
  <si>
    <t>(    )</t>
  </si>
  <si>
    <t>DIRETA</t>
  </si>
  <si>
    <t>( X )</t>
  </si>
  <si>
    <t>INDIRETA</t>
  </si>
  <si>
    <t>COMPOSIÇÃO/DEMONSTRATIVO DE BDI - EM ANEXO</t>
  </si>
  <si>
    <t>% ISS MUNICIPAL:</t>
  </si>
  <si>
    <t>CONSTRUÇÃO DE NOVO QUARTEL MILITAR NO MUNICÍPIO DE GLAUCILÂNDIA-MG (2º ETAPA)</t>
  </si>
  <si>
    <t>CRONOGRAMA FÍSICO-FINANCEIRO</t>
  </si>
  <si>
    <r>
      <rPr>
        <b/>
        <sz val="12"/>
        <rFont val="Times New Roman"/>
        <family val="1"/>
      </rPr>
      <t>RESPONSÁVEL TECNICO</t>
    </r>
    <r>
      <rPr>
        <sz val="12"/>
        <rFont val="Times New Roman"/>
        <family val="1"/>
      </rPr>
      <t xml:space="preserve">: KÁREN MARIANA SOARES VIEIRA </t>
    </r>
  </si>
  <si>
    <t>ETAPAS/DESCRIÇÃO</t>
  </si>
  <si>
    <t>FÍSICO/ FINANCEIRO</t>
  </si>
  <si>
    <t>TOTAL  ETAPAS</t>
  </si>
  <si>
    <t>MÊS 1</t>
  </si>
  <si>
    <t>MÊS 2</t>
  </si>
  <si>
    <t>MÊS 3</t>
  </si>
  <si>
    <t>Físico %</t>
  </si>
  <si>
    <t>Financeiro</t>
  </si>
  <si>
    <t xml:space="preserve">REMOÇÃO E DEMOLIÇÃO </t>
  </si>
  <si>
    <t>DEMOLIÇÃO DE ALVENARIA DE BLOCO FURADO, DE FORMA MANUAL, SEM REAPROVEITAMENTO. AF_09/2023</t>
  </si>
  <si>
    <t>DEMOLIÇÃO MANUAL DE PISO CERÂMICO OU LADRILHO HIDRÁULICO, INCLUSIVE AFASTAMENTO E EMPILHAMENTO, EXCLUSIVE DEMOLIÇÃO DE CONTRAPISO, TRANSPORTE E RETIRADA DO MATERIAL DEMOLIDO</t>
  </si>
  <si>
    <t>DEMOLIÇÃO MANUAL DE REVESTIMENTO CERÂMICO, AZULEJO OU LADRILHO HIDRÁULICO, INCLUSIVE AFASTAMENTO E EMPILHAMENTO, EXCLUSIVE DEMOLIÇÃO DO REBOCO OU EMBOÇO, TRANSPORTE E RETIRADA DO MATERIAL DEMOLIDO</t>
  </si>
  <si>
    <t>REMOÇÃO DE LOUÇAS (LAVATÓRIO, BANHEIRA, PIA, VASO SANITÁRIO, TANQUE), COM REAPROVEITAMENTO, INCLUSIVE AFASTAMENTO E EMPILHAMENTO, EXCLUSIVE TRANSPORTE E RETIRADA DO MATERIAL REMOVIDO NÃO REAPROVEITÁVEL</t>
  </si>
  <si>
    <t>REMOÇÃO MANUAL DE FOLHA DE PORTA OU JANELA DE MADEIRA OU METÁLICA, COM REAPROVEITAMENTO, INCLUSIVE AFASTAMENTO E EMPILHAMENTO, EXCLUSIVE TRANSPORTE E RETIRADA DO MATERIAL REMOVIDO NÃO REAPROVEITÁVEL</t>
  </si>
  <si>
    <t>DEMOLIÇÃO DE PISO DE CONCRETO SIMPLES, DE FORMA MECANIZADA COM MARTELETE, SEM REAPROVEITAMENTO. AF_09/2023</t>
  </si>
  <si>
    <t>Volume Tota (m³)</t>
  </si>
  <si>
    <t xml:space="preserve">W.C Masculino </t>
  </si>
  <si>
    <t>Atura (m)</t>
  </si>
  <si>
    <t xml:space="preserve">Vaso </t>
  </si>
  <si>
    <t>Unidades</t>
  </si>
  <si>
    <t>Unidades (Unid)</t>
  </si>
  <si>
    <t xml:space="preserve">COBERTURA </t>
  </si>
  <si>
    <t xml:space="preserve">ALVENARIA </t>
  </si>
  <si>
    <t>Área de Alvenária</t>
  </si>
  <si>
    <t>APENAS ONDE SERÁ EXECUTADA ALVENÁRIA NOVAS</t>
  </si>
  <si>
    <t>Piso Grosso (Área Ampliada)</t>
  </si>
  <si>
    <t>Porta PN-03</t>
  </si>
  <si>
    <t>Volume Total  (m³)</t>
  </si>
  <si>
    <t>VERGA MOLDADA IN LOCO EM CONCRETO, ESPESSURA DE *10* CM. AF_03/2024</t>
  </si>
  <si>
    <t>SOLEIRA DE GRANITO, COR CINZA ANDORINHA, ESP. 2CM, ACABAMENTO POLIDO, ASSENTAMENTO COM ARGAMASSA INDUSTRIALIZADA, INCLUSIVE REJUNTAMENTO</t>
  </si>
  <si>
    <t>BACIA SANITÁRIA (VASO) DE LOUÇA CONVENCIONAL ACESSÍVEL (PCR/PMR), COR BRANCA, INCLUSIVE SÓCULO NA BASE, ACESSÓRIOS DE FIXAÇÃO/VEDAÇÃO, VÁLVULA DE DESCARGA METÁLICA COM ACIONAMENTO DUPLO, TUBO DE LIGAÇÃO DE LATÃO COM CANOPLA,E REJUNTAMENTO, EXCLUSIVE ASSENTO</t>
  </si>
  <si>
    <t>LAVATORIO DE CANTO DE LOUCA BRANCA, SUSPENSO (SEM COLUNA), DIMENSOES *40 X 30* CM (L X C)</t>
  </si>
  <si>
    <t>97622</t>
  </si>
  <si>
    <t>ED-48480</t>
  </si>
  <si>
    <t>ED-48502</t>
  </si>
  <si>
    <t>ED-48467</t>
  </si>
  <si>
    <t>ED-48494</t>
  </si>
  <si>
    <t>104790</t>
  </si>
  <si>
    <t>105024</t>
  </si>
  <si>
    <t>ED-51002</t>
  </si>
  <si>
    <t>1.10</t>
  </si>
  <si>
    <t>LOUÇAS, METAIS E BANCADAS</t>
  </si>
  <si>
    <t>1.10.1</t>
  </si>
  <si>
    <t>ED-50301</t>
  </si>
  <si>
    <t>1.10.3</t>
  </si>
  <si>
    <t>1.10.4</t>
  </si>
  <si>
    <t>00036521</t>
  </si>
  <si>
    <t>1.10.6</t>
  </si>
  <si>
    <t>1.10.7</t>
  </si>
  <si>
    <t>1.10.8</t>
  </si>
  <si>
    <t>1.11</t>
  </si>
  <si>
    <t>1.11.1</t>
  </si>
  <si>
    <t>1.11.2</t>
  </si>
  <si>
    <t>1.11.3</t>
  </si>
  <si>
    <t>1.12</t>
  </si>
  <si>
    <t>1.13</t>
  </si>
  <si>
    <t>1.13.1</t>
  </si>
  <si>
    <t>PREVISÃO DE EXECUÇÃO DAS OBRAS: 3 MÊS</t>
  </si>
  <si>
    <t>PREVISÃO DE EXECUÇÃO DAS OBRAS: 3  MÊS</t>
  </si>
  <si>
    <t>ALVENÁRIA H=2,10M</t>
  </si>
  <si>
    <t>Pia com cuba BANHEIRO</t>
  </si>
  <si>
    <t>NOVA TUBULAÇÃO SANITÁRIA</t>
  </si>
  <si>
    <t>Alvenária H=2,10m</t>
  </si>
  <si>
    <t>PAREDE EM DRYWALL</t>
  </si>
  <si>
    <t>Comprimento (m) + 0,30m para cada lado</t>
  </si>
  <si>
    <t>COPA</t>
  </si>
  <si>
    <t>DML</t>
  </si>
  <si>
    <t>SUDESE/SINE</t>
  </si>
  <si>
    <t>W.C. FEM.</t>
  </si>
  <si>
    <t>IIMG</t>
  </si>
  <si>
    <t>SALA COORDENAÇÃO</t>
  </si>
  <si>
    <t>ALMOXERIFADO</t>
  </si>
  <si>
    <t>CIRCULAÇÃO</t>
  </si>
  <si>
    <t xml:space="preserve">RECEPÇÃO </t>
  </si>
  <si>
    <t>VIDRO FIXO 1,80X2,20</t>
  </si>
  <si>
    <t>VERIFICAR LOCAIS ONDE SERÁ ALVENÁRIA EM DRYWALL</t>
  </si>
  <si>
    <t xml:space="preserve">LOCAL ONDE TERÁ OS NOVOS PONTOS SANITÁRIOS </t>
  </si>
  <si>
    <t xml:space="preserve">APENAS EM PAREDE DE ALVENÁRIA </t>
  </si>
  <si>
    <t>SUDESE/SINE H=3,05M</t>
  </si>
  <si>
    <t>IIMG  H=3,05M</t>
  </si>
  <si>
    <t>CONSTRUÇÃO DE UNIDADE DE ATENDIMENTO INTEGRADO (UAI), NO MUNICÍPIO DE OLHOS D' ÁGUA-MG,  ACOMPANHADA DE PLANILHA ORÇAMENTÁRIA, MEMORIAL DE CÁLCULO, PROJETOS EXECUTIVOS, CRONOGRAMA FÍSICO-FINANCEIRO, MEMORIAL DESCRITIVO E DEMAIS DOCUMENTOS TÉCNICOS NECESSÁRIOS.</t>
  </si>
  <si>
    <t>CONSTRUÇÃO DE UNIDADE DE ATENDIMENTO INTEGRADO (UAI)</t>
  </si>
  <si>
    <t>103356</t>
  </si>
  <si>
    <t>ALVENARIA DE VEDAÇÃO DE BLOCOS CERÂMICOS FURADOS NA HORIZONTAL DE 9X19X29 CM (ESPESSURA 9 CM) E ARGAMASSA DE ASSENTAMENTO COM PREPARO EM BETONEIRA. AF_12/2021</t>
  </si>
  <si>
    <t>96360</t>
  </si>
  <si>
    <t>PAREDE COM SISTEMA EM CHAPAS DE GESSO PARA DRYWALL, USO INTERNO, COM DUAS FACES SIMPLES E ESTRUTURA METÁLICA COM GUIAS DUPLAS, SEM VÃOS. AF_07/2023_PS</t>
  </si>
  <si>
    <t>87905</t>
  </si>
  <si>
    <t>CHAPISCO APLICADO EM ALVENARIA (COM PRESENÇA DE VÃOS) E ESTRUTURAS DE CONCRETO DE FACHADA, COM COLHER DE PEDREIRO. ARGAMASSA TRAÇO 1:3 COM PREPARO EM BETONEIRA 400L. AF_10/2022</t>
  </si>
  <si>
    <t>ED-49685</t>
  </si>
  <si>
    <t>FORRO EM PLACA DE GESSO LISO, DIMENSÃO (60X60)CM, COM FIXAÇÃO DO TIPO ARAMADO, EXCLUSIVE PERFIL TABICA, SANCA E MOLDURA, INCLUSIVE ACESSÓRIOS E FIXAÇÃO</t>
  </si>
  <si>
    <t>96616</t>
  </si>
  <si>
    <t>LASTRO DE CONCRETO MAGRO, APLICADO EM BLOCOS DE COROAMENTO OU SAPATAS. AF_01/2024</t>
  </si>
  <si>
    <t>ED-50566</t>
  </si>
  <si>
    <t>CONTRAPISO DESEMPENADO COM ARGAMASSA, TRAÇO 1:3 (CIMENTO E AREIA), ESP. 20MM, INCLUSIVE ARGAMASSA COM PREPARO MECANIZADO</t>
  </si>
  <si>
    <t>87257</t>
  </si>
  <si>
    <t>REVESTIMENTO CERÂMICO PARA PISO COM PLACAS TIPO ESMALTADA DE DIMENSÕES 60X60 CM APLICADA EM AMBIENTES DE ÁREA MAIOR QUE 10 M2. AF_02/2023_PE</t>
  </si>
  <si>
    <t>88650</t>
  </si>
  <si>
    <t>RODAPÉ CERÂMICO DE 7CM DE ALTURA COM PLACAS TIPO ESMALTADA DE DIMENSÕES 60X60CM. AF_02/2023</t>
  </si>
  <si>
    <t>1.5.7</t>
  </si>
  <si>
    <t>88495</t>
  </si>
  <si>
    <t>EMASSAMENTO COM MASSA LÁTEX, APLICAÇÃO EM PAREDE, UMA DEMÃO, LIXAMENTO MANUAL. AF_04/2023</t>
  </si>
  <si>
    <t>104641</t>
  </si>
  <si>
    <t>PINTURA LÁTEX ACRÍLICA ECONÔMICA, APLICAÇÃO MANUAL EM PAREDES, DUAS DEMÃOS. AF_04/2023</t>
  </si>
  <si>
    <t>ED-50486</t>
  </si>
  <si>
    <t>EMASSAMENTO EM FORRO DE GESSO COM MASSA CORRIDA (PVA), UMA (1) DEMÃO, INCLUSIVE LIXAMENTO PARA PINTURA</t>
  </si>
  <si>
    <t>1.6.6</t>
  </si>
  <si>
    <t>ED-50452</t>
  </si>
  <si>
    <t>PINTURA ACRÍLICA EM TETO, DUAS (2) DEMÃOS, COM APLICAÇÃO MANUAL, EXCLUSIVE SELADOR ACRÍLICO E MASSA ACRÍLICA/CORRIDA (PVA)</t>
  </si>
  <si>
    <t>106142</t>
  </si>
  <si>
    <t>PORTA-PRONTA DE MADEIRA, FOLHA LEVE OU MÉDIA, 70X210CM, FIXAÇÃO COM PREENCHIMENTO TOTAL DE ESPUMA EXPANSIVA - FORNECIMENTO E INSTALAÇÃO. AF_10/2025</t>
  </si>
  <si>
    <t>106143</t>
  </si>
  <si>
    <t>PORTA-PRONTA DE MADEIRA, FOLHA LEVE OU MÉDIA, 80X210CM, FIXAÇÃO COM PREENCHIMENTO TOTAL DE ESPUMA EXPANSIVA - FORNECIMENTO E INSTALAÇÃO. AF_10/2025</t>
  </si>
  <si>
    <t>KIT DE PORTA DE MADEIRA PARA PINTURA, SEMI-OCA (LEVE OU MÉDIA), PADRÃO POPULAR, 90X210CM, ESPESSURA DE 3,5CM, ITENS INCLUSOS: DOBRADIÇAS, MONTAGEM E INSTALAÇÃO DO BATENTE, FECHADURA COM EXECUÇÃO DO FURO - FORNECIMENTO E INSTALAÇÃO. AF_10/2025</t>
  </si>
  <si>
    <t>86900</t>
  </si>
  <si>
    <t>CUBA DE EMBUTIR RETANGULAR DE AÇO INOXIDÁVEL, 46 X 30 X 12 CM - FORNECIMENTO E INSTALAÇÃO. AF_02/2026</t>
  </si>
  <si>
    <t>CABEAMENTO ESTRUTURADO</t>
  </si>
  <si>
    <t>INSTALAÇÕES HIDROSSANITÁRIAS</t>
  </si>
  <si>
    <t>ED-50266</t>
  </si>
  <si>
    <t>LIMPEZA FINAL PARA ENTREGA DA OBRA</t>
  </si>
  <si>
    <t>CLIMATIZAÇÃO</t>
  </si>
  <si>
    <t>DEMOLIÇÃO E REMOÇÃO</t>
  </si>
  <si>
    <t>ALVENARIA E REVESTIMENTO</t>
  </si>
  <si>
    <t>RODRIGO VIEIRA DE MATOS</t>
  </si>
  <si>
    <t>PREFEITO MUNICIPAL DE OLHOS D'ÁGUA-MG</t>
  </si>
  <si>
    <t>PREFEITO MUNICIPAL DE OLHOS D'ÁGUA</t>
  </si>
  <si>
    <t>1.10.2</t>
  </si>
  <si>
    <t>ORSE</t>
  </si>
  <si>
    <t>1.10.5</t>
  </si>
  <si>
    <t>SUDECAP</t>
  </si>
  <si>
    <t>1.10.9</t>
  </si>
  <si>
    <t>1.10.10</t>
  </si>
  <si>
    <t>1.10.11</t>
  </si>
  <si>
    <t>1.10.12</t>
  </si>
  <si>
    <t>m</t>
  </si>
  <si>
    <t>1.11.4</t>
  </si>
  <si>
    <t>1.11.5</t>
  </si>
  <si>
    <t>1.11.6</t>
  </si>
  <si>
    <t>1.11.7</t>
  </si>
  <si>
    <t>1.11.8</t>
  </si>
  <si>
    <t>1.11.9</t>
  </si>
  <si>
    <t>1.11.10</t>
  </si>
  <si>
    <t>1.11.11</t>
  </si>
  <si>
    <t>1.11.12</t>
  </si>
  <si>
    <t>1.11.13</t>
  </si>
  <si>
    <t>1.11.14</t>
  </si>
  <si>
    <t>1.11.15</t>
  </si>
  <si>
    <t>1.11.16</t>
  </si>
  <si>
    <t>1.11.17</t>
  </si>
  <si>
    <t>1.11.18</t>
  </si>
  <si>
    <t>1.11.19</t>
  </si>
  <si>
    <t>1.11.20</t>
  </si>
  <si>
    <t>1.11.21</t>
  </si>
  <si>
    <t>1.11.22</t>
  </si>
  <si>
    <t>1.11.23</t>
  </si>
  <si>
    <t>1.11.24</t>
  </si>
  <si>
    <t>91924</t>
  </si>
  <si>
    <t>CABO DE COBRE FLEXÍVEL ISOLADO, 1,5 MM², ANTI-CHAMA 450/750 V, PARA CIRCUITOS TERMINAIS - FORNECIMENTO E INSTALAÇÃO. AF_03/2023</t>
  </si>
  <si>
    <t>91926</t>
  </si>
  <si>
    <t>CABO DE COBRE FLEXÍVEL ISOLADO, 2,5 MM², ANTI-CHAMA 450/750 V, PARA CIRCUITOS TERMINAIS - FORNECIMENTO E INSTALAÇÃO. AF_03/2023</t>
  </si>
  <si>
    <t>91928</t>
  </si>
  <si>
    <t>CABO DE COBRE FLEXÍVEL ISOLADO, 4 MM², ANTI-CHAMA 450/750 V, PARA CIRCUITOS TERMINAIS - FORNECIMENTO E INSTALAÇÃO. AF_03/2023</t>
  </si>
  <si>
    <t>91953</t>
  </si>
  <si>
    <t>INTERRUPTOR SIMPLES (1 MÓDULO), 10A/250V, INCLUINDO SUPORTE E PLACA - FORNECIMENTO E INSTALAÇÃO. AF_03/2023</t>
  </si>
  <si>
    <t>92008</t>
  </si>
  <si>
    <t>TOMADA BAIXA DE EMBUTIR (2 MÓDULOS), 2P+T 10 A, INCLUINDO SUPORTE E PLACA - FORNECIMENTO E INSTALAÇÃO. AF_03/2023</t>
  </si>
  <si>
    <t>92000</t>
  </si>
  <si>
    <t>TOMADA BAIXA DE EMBUTIR (1 MÓDULO), 2P+T 10 A, INCLUINDO SUPORTE E PLACA - FORNECIMENTO E INSTALAÇÃO. AF_03/2023</t>
  </si>
  <si>
    <t>93653</t>
  </si>
  <si>
    <t>DISJUNTOR MONOPOLAR TIPO DIN, CORRENTE NOMINAL DE 10A - FORNECIMENTO E INSTALAÇÃO. AF_07/2025</t>
  </si>
  <si>
    <t>93654</t>
  </si>
  <si>
    <t>DISJUNTOR MONOPOLAR TIPO DIN, CORRENTE NOMINAL DE 16A - FORNECIMENTO E INSTALAÇÃO. AF_07/2025</t>
  </si>
  <si>
    <t>93662</t>
  </si>
  <si>
    <t>DISJUNTOR BIPOLAR TIPO DIN, CORRENTE NOMINAL DE 20A - FORNECIMENTO E INSTALAÇÃO. AF_07/2025</t>
  </si>
  <si>
    <t>ED-34480</t>
  </si>
  <si>
    <t>DISJUNTOR BIPOLAR TIPO DIN, CORRENTE NOMINAL DE 63A, FORNECIMENTO E INSTALAÇÃO, INCLUSIVE TERMINAL ILHÓS</t>
  </si>
  <si>
    <t>ED-16600</t>
  </si>
  <si>
    <t>DISPOSITIVO DE PROTEÇÃO CONTRA SURTOS (DPS) MONOPOLAR, CORRENTE DE INTERRUPÇÃO 20KA, INCLUSIVE TERMINAL ILHÓS</t>
  </si>
  <si>
    <t>ED-15117</t>
  </si>
  <si>
    <t>DISJUNTOR DE PROTEÇÃO DIFERENCIAL RESIDUAL (DR), TETRAPOLAR TIPO DIN, CORRENTE NOMINAL DE 63A, SENSIBILIDADE DE 30MA, FORNECIMENTO E INSTALAÇÃO, INCLUSIVE TERMINAL ILHÓS</t>
  </si>
  <si>
    <t>91835</t>
  </si>
  <si>
    <t>ELETRODUTO FLEXÍVEL CORRUGADO REFORÇADO, PVC, DN 25 MM (3/4"), PARA CIRCUITOS TERMINAIS, INSTALADO EM FORRO - FORNECIMENTO E INSTALAÇÃO. AF_03/2023</t>
  </si>
  <si>
    <t>ED-20582</t>
  </si>
  <si>
    <t>ENTRADA DE ENERGIA AÉREA, TIPO C2, PADRÃO CEMIG, CARGA INSTALADA DE 15,1KVA ATÉ 23KVA, TRIFÁSICO, COM SAÍDA SUBTERRÂNEA, INCLUSIVE POSTE, CAIXA PARA MEDIDOR, DISJUNTOR, BARRAMENTO, ATERRAMENTO E ACESSÓRIOS</t>
  </si>
  <si>
    <t>S14057</t>
  </si>
  <si>
    <t>Caixa de passagem polar para ar condicionado Split</t>
  </si>
  <si>
    <t>89489</t>
  </si>
  <si>
    <t>CURVA 90 GRAUS, PVC, SOLDÁVEL, DN 25MM, INSTALADO EM PRUMADA DE ÁGUA - FORNECIMENTO E INSTALAÇÃO. AF_06/2022</t>
  </si>
  <si>
    <t>89865</t>
  </si>
  <si>
    <t>TUBO, PVC, SOLDÁVEL, DE 25MM, INSTALADO EM DRENO DE AR-CONDICIONADO - FORNECIMENTO E INSTALAÇÃO. AF_08/2022</t>
  </si>
  <si>
    <t>S11412</t>
  </si>
  <si>
    <t>Cabo de cobre PP Cordplast 4 x 2,5 mm2, 450/750v - fornecimento e instalação</t>
  </si>
  <si>
    <t>S11506</t>
  </si>
  <si>
    <t>Fornecimento e instalação de tubo esponjoso d=1/4"</t>
  </si>
  <si>
    <t>S11507</t>
  </si>
  <si>
    <t>Fornecimento e instalação de tubo esponjoso d=3/8"</t>
  </si>
  <si>
    <t>S09837</t>
  </si>
  <si>
    <t>Fornecimento e instalação de tubo esponjoso d=5/8"</t>
  </si>
  <si>
    <t>97327</t>
  </si>
  <si>
    <t>TUBO EM COBRE FLEXÍVEL, DN 1/4", COM ISOLAMENTO, INSTALADO EM RAMAL DE ALIMENTAÇÃO DE AR-CONDICIONADO - FORNECIMENTO E INSTALAÇÃO. AF_07/2025</t>
  </si>
  <si>
    <t>97328</t>
  </si>
  <si>
    <t>TUBO EM COBRE FLEXÍVEL, DN 3/8", COM ISOLAMENTO, INSTALADO EM RAMAL DE ALIMENTAÇÃO DE AR-CONDICIONADO - FORNECIMENTO E INSTALAÇÃO. AF_07/2025</t>
  </si>
  <si>
    <t>97330</t>
  </si>
  <si>
    <t>TUBO EM COBRE FLEXÍVEL, DN 5/8", COM ISOLAMENTO, INSTALADO EM RAMAL DE ALIMENTAÇÃO DE AR-CONDICIONADO - FORNECIMENTO E INSTALAÇÃO. AF_07/2025</t>
  </si>
  <si>
    <t>PREFEITURA MUNICIPAL DE OLHOS D'ÁGUA-MG</t>
  </si>
  <si>
    <t xml:space="preserve">RODRIGO VIEIRA DE MATOS </t>
  </si>
  <si>
    <t>1.6.7</t>
  </si>
  <si>
    <t>1.6.8</t>
  </si>
  <si>
    <t>1.8.9</t>
  </si>
  <si>
    <r>
      <t xml:space="preserve">REGIÃO/MÊS DE REFERÊNCIA: </t>
    </r>
    <r>
      <rPr>
        <sz val="12"/>
        <rFont val="Times New Roman"/>
        <family val="1"/>
      </rPr>
      <t>SINAPI 002/2026 DESONERADO / SETOP 01/2026 DESONERADO / SUDECAP 01/2026 DESONERADO / ORSE 02/2026 DESONERADO</t>
    </r>
  </si>
  <si>
    <t>ALVENÁRIA H=2,50M</t>
  </si>
  <si>
    <t>4,8+1+1+3,55</t>
  </si>
  <si>
    <t>ALVENARIA H=1,10M</t>
  </si>
  <si>
    <t>ALVENARIA H=2,30M</t>
  </si>
  <si>
    <t>0,45+0,45</t>
  </si>
  <si>
    <t>ALVENARIA H=2,50M</t>
  </si>
  <si>
    <t>2,25+1,95</t>
  </si>
  <si>
    <t>W.C Feminino</t>
  </si>
  <si>
    <t>2,7+2,3+2,7+2,3</t>
  </si>
  <si>
    <t>2,35+3,7+2,25+1+1,1+2,7</t>
  </si>
  <si>
    <t>PORTA 60X210</t>
  </si>
  <si>
    <t>PORTA 60X180</t>
  </si>
  <si>
    <t>PORTA 160X230</t>
  </si>
  <si>
    <t>0,9+0,9+0,8</t>
  </si>
  <si>
    <t>2,35+2,3</t>
  </si>
  <si>
    <t>Complemetação da alvenária central H=40CM</t>
  </si>
  <si>
    <t>1,5+1,86+4,16+1,20+3,14+4,30+0,6+5,40+6,76+4,06+2,06+1,24</t>
  </si>
  <si>
    <t>PROVA DETRAN</t>
  </si>
  <si>
    <t xml:space="preserve">SALA DE ATENDIMENTO </t>
  </si>
  <si>
    <t>W.C. MASC.</t>
  </si>
  <si>
    <t>RACK</t>
  </si>
  <si>
    <t>SALA DE ESPERA</t>
  </si>
  <si>
    <t xml:space="preserve">ALMOXERIFADO </t>
  </si>
  <si>
    <t xml:space="preserve">RECPÇÃO </t>
  </si>
  <si>
    <t>5,5+3+1</t>
  </si>
  <si>
    <t>5,4+3+3</t>
  </si>
  <si>
    <t>1,8+6,76+6,85</t>
  </si>
  <si>
    <t>5,75+3,56+1,24+4,8+3,69</t>
  </si>
  <si>
    <t>3+3+1,4+1,4</t>
  </si>
  <si>
    <t>3,25+3,25+3+3</t>
  </si>
  <si>
    <t>2+0,6</t>
  </si>
  <si>
    <t>(2*2+2,35*2)</t>
  </si>
  <si>
    <t>PAREDES EXISTENTES  H= 2,70M</t>
  </si>
  <si>
    <t>PAREDES EXISTENTES  H= 2,50M</t>
  </si>
  <si>
    <t>PAREDES EXTERNAS</t>
  </si>
  <si>
    <t>11,35+11,35+15,15+15,15</t>
  </si>
  <si>
    <t>9,9*2+11,35*2+8*2</t>
  </si>
  <si>
    <t>11,35*2+4,8*4+3*4</t>
  </si>
  <si>
    <t xml:space="preserve">SALA DA COORDENAÇÃO </t>
  </si>
  <si>
    <t xml:space="preserve">CIRCULAÇÃO </t>
  </si>
  <si>
    <t>PROVA DO DETRAN</t>
  </si>
  <si>
    <t>W.C. FEM</t>
  </si>
  <si>
    <t xml:space="preserve">ÁREA EXTERNA </t>
  </si>
  <si>
    <t>3,5+3+5,5</t>
  </si>
  <si>
    <t>1,5+1,86+1,5</t>
  </si>
  <si>
    <t>5,4+3+5,4+3</t>
  </si>
  <si>
    <t>3,31+3,31+4,06+4,06</t>
  </si>
  <si>
    <t>3,32+3,32+4,06+4,06</t>
  </si>
  <si>
    <t>6,76+1,2+4,94</t>
  </si>
  <si>
    <t>3+3+4,16+4,16</t>
  </si>
  <si>
    <t>6,76+1,20+3,14+4,30+1,8+6,85</t>
  </si>
  <si>
    <t>2,3+2,3+2+2</t>
  </si>
  <si>
    <t>2,35+2,35+2+2</t>
  </si>
  <si>
    <t>2,06+2,06+1,24+1,24</t>
  </si>
  <si>
    <t>4,8*2+5,75*2</t>
  </si>
  <si>
    <t>3*2+1,4*2</t>
  </si>
  <si>
    <t>3,25*2+3*2</t>
  </si>
  <si>
    <t>11,35*2+15,15*2</t>
  </si>
  <si>
    <t>PAREDES EM DRYWALL</t>
  </si>
  <si>
    <t>BANCADA 190X60</t>
  </si>
  <si>
    <t>BANCADA 200X60</t>
  </si>
  <si>
    <t>BANCADA160x40</t>
  </si>
  <si>
    <t>JA-01</t>
  </si>
  <si>
    <t>JA-02</t>
  </si>
  <si>
    <t>JA-03</t>
  </si>
  <si>
    <t>JA-04</t>
  </si>
  <si>
    <t>P-03</t>
  </si>
  <si>
    <t>REMOÇÃO DE DIVISÓRIA</t>
  </si>
  <si>
    <t>1,23*4+2,7+1,86</t>
  </si>
  <si>
    <t xml:space="preserve">DIVISÓRIAS EXISTENTES </t>
  </si>
  <si>
    <t>6,21+7,60</t>
  </si>
  <si>
    <t>Alvenária H=2,50m</t>
  </si>
  <si>
    <t>P-05</t>
  </si>
  <si>
    <t>1.2.7</t>
  </si>
  <si>
    <t>Porta P-05</t>
  </si>
  <si>
    <t xml:space="preserve">RAMPA ENTRADA </t>
  </si>
  <si>
    <t>1.8.7</t>
  </si>
  <si>
    <t>86874</t>
  </si>
  <si>
    <t>TANQUE DE LOUÇA BRANCA SUSPENSO, *20*L OU EQUIVALENTE - FORNECIMENTO E INSTALAÇÃO. AF_02/2026</t>
  </si>
  <si>
    <t>89869</t>
  </si>
  <si>
    <t>TE, PVC, SOLDÁVEL, DN 25MM, INSTALADO EM DRENO DE AR-CONDICIONADO - FORNECIMENTO E INSTALAÇÃO. AF_08/2022</t>
  </si>
  <si>
    <t>S11508</t>
  </si>
  <si>
    <t>Fornecimento e instalação de tubo esponjoso d=1/2"</t>
  </si>
  <si>
    <t>103291</t>
  </si>
  <si>
    <t>TUBO EM COBRE FLEXÍVEL, DN 1/2", COM ISOLAMENTO, INSTALADO EM FORRO, PARA RAMAL DE ALIMENTAÇÃO DE AR CONDICIONADO, INCLUSO FIXADOR. AF_11/2021</t>
  </si>
  <si>
    <t>ED-9195</t>
  </si>
  <si>
    <t>CONECTOR/PLUG MACHO RJ45, CATEGORIA 6, INCLUSIVE CAPA PROTETORA E CRIMPAGEM, EXCLUSIVE CERTIFICAÇÃO</t>
  </si>
  <si>
    <t>98301</t>
  </si>
  <si>
    <t>PATCH PANEL 24 PORTAS, CATEGORIA 5E - FORNECIMENTO E INSTALAÇÃO. AF_08/2025</t>
  </si>
  <si>
    <t>I07615</t>
  </si>
  <si>
    <t>Switch 24 portas 10/100 Mbps</t>
  </si>
  <si>
    <t>Un</t>
  </si>
  <si>
    <t>74.26.05</t>
  </si>
  <si>
    <t>CALHA COM 8 TOMADAS 19"</t>
  </si>
  <si>
    <t>I01089</t>
  </si>
  <si>
    <t>Guia de cabos fechado 19" 1U</t>
  </si>
  <si>
    <t>92868</t>
  </si>
  <si>
    <t>CAIXA RETANGULAR 4" X 2" MÉDIA (1,30 M DO PISO), METÁLICA, INSTALADA EM PAREDE - FORNECIMENTO E INSTALAÇÃO. AF_03/2023</t>
  </si>
  <si>
    <t>11.80.20</t>
  </si>
  <si>
    <t>CABO UTP 4 PARES - CATEGORIA 5E - FURUKAWA/EQUIVALENTE</t>
  </si>
  <si>
    <t>I14370</t>
  </si>
  <si>
    <t>Placa 4" x 2" para tomada rj-45 cat.6 - p/ 01 módulos</t>
  </si>
  <si>
    <t>00000400</t>
  </si>
  <si>
    <t>ABRACADEIRA EM ACO PARA AMARRACAO DE ELETRODUTOS, TIPO D, COM 3/4" E PARAFUSO DE FIXACAO</t>
  </si>
  <si>
    <t>100555</t>
  </si>
  <si>
    <t>RACK ABERTO EM COLUNA 44U PARA SERVIDOR - FORNECIMENTO E INSTALAÇÃO. AF_08/2025</t>
  </si>
  <si>
    <t>I11100</t>
  </si>
  <si>
    <t>Tomada para lógica no piso, metal, RJ45</t>
  </si>
  <si>
    <t>1.9.1</t>
  </si>
  <si>
    <t>1.9.2</t>
  </si>
  <si>
    <t>1.9.3</t>
  </si>
  <si>
    <t>1.9.4</t>
  </si>
  <si>
    <t>1.9.5</t>
  </si>
  <si>
    <t>1.9.6</t>
  </si>
  <si>
    <t>1.9.7</t>
  </si>
  <si>
    <t>1.9.8</t>
  </si>
  <si>
    <t>1.9.9</t>
  </si>
  <si>
    <t>1.9.10</t>
  </si>
  <si>
    <t>1.9.11</t>
  </si>
  <si>
    <t>1.9.12</t>
  </si>
  <si>
    <t>1.9.13</t>
  </si>
  <si>
    <t>91941</t>
  </si>
  <si>
    <t>CAIXA RETANGULAR 4" X 2" BAIXA (0,30 M DO PISO), PVC, INSTALADA EM PAREDE - FORNECIMENTO E INSTALAÇÃO. AF_03/2023</t>
  </si>
  <si>
    <t>91934</t>
  </si>
  <si>
    <t>CABO DE COBRE FLEXÍVEL ISOLADO, 16 MM², ANTI-CHAMA 450/750 V, PARA CIRCUITOS TERMINAIS - FORNECIMENTO E INSTALAÇÃO. AF_03/2023</t>
  </si>
  <si>
    <t>ED-49165</t>
  </si>
  <si>
    <t>CAIXA DE PASSAGEM PARA PISO EM ALUMÍNIO, TAMPA REVERSÍVEL (ANTIDERRAPANTE OU LISA), DIMENSÃO (200X200X100)MM, INCLUSIVE ACESSÓRIOS E FIXAÇÃO</t>
  </si>
  <si>
    <t>91954</t>
  </si>
  <si>
    <t>INTERRUPTOR PARALELO (1 MÓDULO), 10A/250V, SEM SUPORTE E SEM PLACA - FORNECIMENTO E INSTALAÇÃO. AF_03/2023</t>
  </si>
  <si>
    <t>91959</t>
  </si>
  <si>
    <t>INTERRUPTOR SIMPLES (2 MÓDULOS), 10A/250V, INCLUINDO SUPORTE E PLACA - FORNECIMENTO E INSTALAÇÃO. AF_03/2023</t>
  </si>
  <si>
    <t>92029</t>
  </si>
  <si>
    <t>INTERRUPTOR PARALELO (1 MÓDULO) COM 1 TOMADA DE EMBUTIR 2P+T 10 A, INCLUINDO SUPORTE E PLACA - FORNECIMENTO E INSTALAÇÃO. AF_03/2023</t>
  </si>
  <si>
    <t>92001</t>
  </si>
  <si>
    <t>TOMADA BAIXA DE EMBUTIR (1 MÓDULO), 2P+T 20 A, INCLUINDO SUPORTE E PLACA - FORNECIMENTO E INSTALAÇÃO. AF_03/2023</t>
  </si>
  <si>
    <t>91855</t>
  </si>
  <si>
    <t>ELETRODUTO FLEXÍVEL CORRUGADO REFORÇADO, PVC, DN 25 MM (3/4"), PARA CIRCUITOS TERMINAIS, INSTALADO EM PAREDE - FORNECIMENTO E INSTALAÇÃO. AF_03/2023</t>
  </si>
  <si>
    <t>ED-13344</t>
  </si>
  <si>
    <t>LÂMPADA LED, BASE E27, POTÊNCIA DE 20W, BULBO A70, TEMPERATURA DA COR 6500K, TENSÃO 110-127V, EXCLUSIVE LUMINÁRIA</t>
  </si>
  <si>
    <t>ED-14201</t>
  </si>
  <si>
    <t>QUADRO DE DISTRIBUIÇÃO DE EMBUTIR EM CHAPA, PARA 56 DISJUNTORES DIN, INCLUSIVE BARRAMENTOS NEUTRO/TERRA E BARRAMENTO TRIFÁSICO DE 225A</t>
  </si>
  <si>
    <t>S00780</t>
  </si>
  <si>
    <t>Tomada 2p+t, ABNT, 10 A, para piso, com placa em metal amarelo e caixa pvc</t>
  </si>
  <si>
    <t>86909</t>
  </si>
  <si>
    <t>TORNEIRA CROMADA TUBO MÓVEL, DE MESA, 1/2" OU 3/4", PARA PIA DE COZINHA, PADRÃO ALTO - FORNECIMENTO E INSTALAÇÃO. AF_02/2026</t>
  </si>
  <si>
    <t>86913</t>
  </si>
  <si>
    <t>TORNEIRA CROMADA 1/2" OU 3/4" PARA TANQUE, PADRÃO POPULAR - FORNECIMENTO E INSTALAÇÃO. AF_02/2026</t>
  </si>
  <si>
    <t>86906</t>
  </si>
  <si>
    <t>TORNEIRA CROMADA DE MESA, 1/2" OU 3/4", PARA LAVATÓRIO, PADRÃO POPULAR - FORNECIMENTO E INSTALAÇÃO. AF_02/2026</t>
  </si>
  <si>
    <t>ED-50296</t>
  </si>
  <si>
    <t>BACIA SANITÁRIA (VASO) DE LOUÇA CONVENCIONAL, COR BRANCA, INCLUSIVE ACESSÓRIOS DE FIXAÇÃO/VEDAÇÃO E REJUNTAMENTO, EXCLUSIVE ASSENTO, VÁLVULA DE DESCARGA E TUBO DE LIGAÇÃO</t>
  </si>
  <si>
    <t>94794</t>
  </si>
  <si>
    <t>REGISTRO DE GAVETA BRUTO, LATÃO, ROSCÁVEL, 1 1/2", COM ACABAMENTO E CANOPLA CROMADOS - FORNECIMENTO E INSTALAÇÃO. AF_08/2021</t>
  </si>
  <si>
    <t>89353</t>
  </si>
  <si>
    <t>REGISTRO DE GAVETA BRUTO, LATÃO, ROSCÁVEL, 3/4" - FORNECIMENTO E INSTALAÇÃO. AF_08/2021</t>
  </si>
  <si>
    <t>ED-50337</t>
  </si>
  <si>
    <t>VÁLVULA DE DESCARGA COM REGISTRO INTERNO, ACIONAMENTO SIMPLES, DIÂMETRO DE 1.1/2" (50MM), INCLUSIVE ACABAMENTO DA VÁLVULA</t>
  </si>
  <si>
    <t>ED-50309</t>
  </si>
  <si>
    <t>BOLSA DE LIGAÇÃO DE BORRACHA, DIÂMETRO DE 1.1/2", PARA VASO SANITÁRIO, EXCLUSIVE TUBO DE LIGAÇÃO</t>
  </si>
  <si>
    <t>86884</t>
  </si>
  <si>
    <t>ENGATE FLEXÍVEL EM PLÁSTICO BRANCO, 1/2" X 30CM - FORNECIMENTO E INSTALAÇÃO. AF_02/2026</t>
  </si>
  <si>
    <t>ED-50318</t>
  </si>
  <si>
    <t>TUBO DE LIGAÇÃO DE ÁGUA EM PVC PARA BACIA SANITÁRIA (VASO), DIÂMETRO DE 1.1/2", COMPRIMENTO 20CM, ACABAMENTO CROMADO, INCLUSIVE CANOPLA, BOLSA ESPUDE E ACESSÓRIOS</t>
  </si>
  <si>
    <t>MATED-11493</t>
  </si>
  <si>
    <t>TUBO DE LIGAÇÃO PARA BACIA SANITÁRIA (MATERIAL: LATÃO|ACABAMENTO: CROMADO|COMPRIMENTO: 200MM|DIÂMETRO DA SEÇÃO: 1.1/2"|CANOPLA: INCLUSO|BOLSA ESPUDE: INCLUSO)</t>
  </si>
  <si>
    <t>89429</t>
  </si>
  <si>
    <t>ADAPTADOR CURTO COM BOLSA E ROSCA PARA REGISTRO, PVC, SOLDÁVEL, DN 25MM X 3/4, INSTALADO EM RAMAL DE DISTRIBUIÇÃO DE ÁGUA - FORNECIMENTO E INSTALAÇÃO. AF_06/2022</t>
  </si>
  <si>
    <t>104001</t>
  </si>
  <si>
    <t>ADAPTADOR CURTO COM BOLSA E ROSCA PARA REGISTRO, PVC, SOLDÁVEL, DN 50MM X 1.1/2", INSTALADO EM RAMAL DE DISTRIBUIÇÃO DE ÁGUA - FORNECIMENTO E INSTALAÇÃO. AF_06/2022</t>
  </si>
  <si>
    <t>89364</t>
  </si>
  <si>
    <t>CURVA 90 GRAUS, PVC, SOLDÁVEL, DN 25MM, INSTALADO EM RAMAL OU SUB-RAMAL DE ÁGUA - FORNECIMENTO E INSTALAÇÃO. AF_06/2022</t>
  </si>
  <si>
    <t>89378</t>
  </si>
  <si>
    <t>LUVA, PVC, SOLDÁVEL, DN 25MM, INSTALADO EM RAMAL OU SUB-RAMAL DE ÁGUA - FORNECIMENTO E INSTALAÇÃO. AF_06/2022</t>
  </si>
  <si>
    <t>103995</t>
  </si>
  <si>
    <t>LUVA, PVC, SOLDÁVEL, DN 50MM, INSTALADO EM RAMAL DE DISTRIBUIÇÃO DE ÁGUA - FORNECIMENTO E INSTALAÇÃO. AF_06/2022</t>
  </si>
  <si>
    <t>89356</t>
  </si>
  <si>
    <t>TUBO, PVC, SOLDÁVEL, DE 25MM, INSTALADO EM RAMAL OU SUB-RAMAL DE ÁGUA - FORNECIMENTO E INSTALAÇÃO. AF_06/2022</t>
  </si>
  <si>
    <t>103979</t>
  </si>
  <si>
    <t>TUBO, PVC, SOLDÁVEL, DE 50MM, INSTALADO EM RAMAL DE DISTRIBUIÇÃO DE ÁGUA - FORNECIMENTO E INSTALAÇÃO. AF_06/2022</t>
  </si>
  <si>
    <t>104006</t>
  </si>
  <si>
    <t>TÊ DE REDUÇÃO, PVC, SOLDÁVEL, DN 50MM X 25MM, INSTALADO EM RAMAL DE DISTRIBUIÇÃO DE ÁGUA - FORNECIMENTO E INSTALAÇÃO. AF_06/2022</t>
  </si>
  <si>
    <t>89366</t>
  </si>
  <si>
    <t>JOELHO 90 GRAUS COM BUCHA DE LATÃO, PVC, SOLDÁVEL, DN 25MM, X 3/4 INSTALADO EM RAMAL OU SUB-RAMAL DE ÁGUA - FORNECIMENTO E INSTALAÇÃO. AF_06/2022</t>
  </si>
  <si>
    <t>90373</t>
  </si>
  <si>
    <t>JOELHO 90 GRAUS COM BUCHA DE LATÃO, PVC, SOLDÁVEL, DN 25MM, X 1/2 INSTALADO EM RAMAL OU SUB-RAMAL DE ÁGUA - FORNECIMENTO E INSTALAÇÃO. AF_06/2022</t>
  </si>
  <si>
    <t>00035277</t>
  </si>
  <si>
    <t>CAIXA DE GORDURA EM PVC, DIAMETRO MINIMO 300 MM, DIAMETRO DE SAIDA 100 MM, CAPACIDADE APROXIMADA 18 LITROS, COM TAMPA E CESTO</t>
  </si>
  <si>
    <t>ED-49871</t>
  </si>
  <si>
    <t>CAIXA DE ESGOTO DE INSPEÇÃO/PASSAGEM EM ALVENARIA (30X30X40CM), REVESTIMENTO EM ARGAMASSA COM ADITIVO IMPERMEABILIZANTE, COM TAMPA DE CONCRETO, INCLUSIVE ESCAVAÇÃO, REATERRO E TRANSPORTE COM RETIRADA DO MATERIAL ESCAVADO (EM CAÇAMBA)</t>
  </si>
  <si>
    <t>ED-50007</t>
  </si>
  <si>
    <t>CAIXA SIFONADA EM PVC COM GRELHA QUADRADA150 X 150 X 50 MM</t>
  </si>
  <si>
    <t>86881</t>
  </si>
  <si>
    <t>SIFÃO DO TIPO GARRAFA EM METAL CROMADO 1" X 1.1/2" - FORNECIMENTO E INSTALAÇÃO. AF_02/2026</t>
  </si>
  <si>
    <t>ED-50321</t>
  </si>
  <si>
    <t>SIFÃO DE METAL PARA PIA, TIPO COPO COM ACABAMENTO CROMADO, DIÂMETRO DE (1.1/2"X1.1/2" OU 2"), INCLUSIVE ACESSÓRIOS</t>
  </si>
  <si>
    <t>86883</t>
  </si>
  <si>
    <t>SIFÃO DO TIPO FLEXÍVEL EM PVC 1" X 1.1/2" - FORNECIMENTO E INSTALAÇÃO. AF_02/2026</t>
  </si>
  <si>
    <t>86879</t>
  </si>
  <si>
    <t>VÁLVULA EM PLÁSTICO 1" PARA PIA, TANQUE OU LAVATÓRIO, COM OU SEM LADRÃO - FORNECIMENTO E INSTALAÇÃO. AF_02/2026</t>
  </si>
  <si>
    <t>00037588</t>
  </si>
  <si>
    <t>VALVULA DE ESCOAMENTO PARA TANQUE, EM METAL CROMADO, 1.1/2", SEM LADRAO, COM TAMPAO PLASTICO</t>
  </si>
  <si>
    <t>00000301</t>
  </si>
  <si>
    <t>ANEL BORRACHA PARA TUBO ESGOTO PREDIAL, DN 100 MM (NBR 5688)</t>
  </si>
  <si>
    <t>00000296</t>
  </si>
  <si>
    <t>ANEL BORRACHA PARA TUBO ESGOTO PREDIAL, DN 50 MM (NBR 5688)</t>
  </si>
  <si>
    <t>89728</t>
  </si>
  <si>
    <t>CURVA CURTA 90 GRAUS, PVC, SERIE NORMAL, ESGOTO PREDIAL, DN 40 MM, JUNTA SOLDÁVEL, FORNECIDO E INSTALADO EM RAMAL DE DESCARGA OU RAMAL DE ESGOTO SANITÁRIO. AF_08/2022</t>
  </si>
  <si>
    <t>89732</t>
  </si>
  <si>
    <t>JOELHO 45 GRAUS, PVC, SERIE NORMAL, ESGOTO PREDIAL, DN 50 MM, JUNTA ELÁSTICA, FORNECIDO E INSTALADO EM RAMAL DE DESCARGA OU RAMAL DE ESGOTO SANITÁRIO. AF_08/2022</t>
  </si>
  <si>
    <t>89744</t>
  </si>
  <si>
    <t>JOELHO 90 GRAUS, PVC, SERIE NORMAL, ESGOTO PREDIAL, DN 100 MM, JUNTA ELÁSTICA, FORNECIDO E INSTALADO EM RAMAL DE DESCARGA OU RAMAL DE ESGOTO SANITÁRIO. AF_08/2022</t>
  </si>
  <si>
    <t>89731</t>
  </si>
  <si>
    <t>JOELHO 90 GRAUS, PVC, SERIE NORMAL, ESGOTO PREDIAL, DN 50 MM, JUNTA ELÁSTICA, FORNECIDO E INSTALADO EM RAMAL DE DESCARGA OU RAMAL DE ESGOTO SANITÁRIO. AF_08/2022</t>
  </si>
  <si>
    <t>00010835</t>
  </si>
  <si>
    <t>JOELHO PVC, COM BOLSA E ANEL, 90 GRAUS, DN 40 X *38* MM, SERIE NORMAL, PARA ESGOTO PREDIAL</t>
  </si>
  <si>
    <t>00003659</t>
  </si>
  <si>
    <t>JUNCAO SIMPLES DE REDUCAO, PVC, DN 100 X 50 MM, SERIE NORMAL PARA ESGOTO PREDIAL</t>
  </si>
  <si>
    <t>89752</t>
  </si>
  <si>
    <t>LUVA SIMPLES, PVC, SERIE NORMAL, ESGOTO PREDIAL, DN 40 MM, JUNTA SOLDÁVEL, FORNECIDO E INSTALADO EM RAMAL DE DESCARGA OU RAMAL DE ESGOTO SANITÁRIO. AF_08/2022</t>
  </si>
  <si>
    <t>89778</t>
  </si>
  <si>
    <t>LUVA SIMPLES, PVC, SERIE NORMAL, ESGOTO PREDIAL, DN 100 MM, JUNTA ELÁSTICA, FORNECIDO E INSTALADO EM RAMAL DE DESCARGA OU RAMAL DE ESGOTO SANITÁRIO. AF_08/2022</t>
  </si>
  <si>
    <t>89753</t>
  </si>
  <si>
    <t>LUVA SIMPLES, PVC, SERIE NORMAL, ESGOTO PREDIAL, DN 50 MM, JUNTA ELÁSTICA, FORNECIDO E INSTALADO EM RAMAL DE DESCARGA OU RAMAL DE ESGOTO SANITÁRIO. AF_08/2022</t>
  </si>
  <si>
    <t>89714</t>
  </si>
  <si>
    <t>TUBO PVC, SERIE NORMAL, ESGOTO PREDIAL, DN 100 MM, FORNECIDO E INSTALADO EM RAMAL DE DESCARGA OU RAMAL DE ESGOTO SANITÁRIO. AF_08/2022</t>
  </si>
  <si>
    <t>89711</t>
  </si>
  <si>
    <t>TUBO PVC, SERIE NORMAL, ESGOTO PREDIAL, DN 40 MM, FORNECIDO E INSTALADO EM RAMAL DE DESCARGA OU RAMAL DE ESGOTO SANITÁRIO. AF_08/2022</t>
  </si>
  <si>
    <t>89712</t>
  </si>
  <si>
    <t>TUBO PVC, SERIE NORMAL, ESGOTO PREDIAL, DN 50 MM, FORNECIDO E INSTALADO EM RAMAL DE DESCARGA OU RAMAL DE ESGOTO SANITÁRIO. AF_08/2022</t>
  </si>
  <si>
    <t>MATED-11705</t>
  </si>
  <si>
    <t>ANEL DE VEDAÇÃO PARA SAÍDA DE VASO SANITÁRIO COM GUIA (DIÂMETRO DA SEÇÃO: 100MM)</t>
  </si>
  <si>
    <t>1.10.13</t>
  </si>
  <si>
    <t>1.11.25</t>
  </si>
  <si>
    <t>1.12.1</t>
  </si>
  <si>
    <t>1.12.2</t>
  </si>
  <si>
    <t>1.12.3</t>
  </si>
  <si>
    <t>1.12.4</t>
  </si>
  <si>
    <t>1.12.5</t>
  </si>
  <si>
    <t>1.12.6</t>
  </si>
  <si>
    <t>1.12.7</t>
  </si>
  <si>
    <t>1.12.8</t>
  </si>
  <si>
    <t>1.12.9</t>
  </si>
  <si>
    <t>1.12.10</t>
  </si>
  <si>
    <t>1.12.11</t>
  </si>
  <si>
    <t>1.12.12</t>
  </si>
  <si>
    <t>1.12.13</t>
  </si>
  <si>
    <t>1.12.14</t>
  </si>
  <si>
    <t>1.12.15</t>
  </si>
  <si>
    <t>1.12.16</t>
  </si>
  <si>
    <t>1.12.17</t>
  </si>
  <si>
    <t>1.12.18</t>
  </si>
  <si>
    <t>1.12.19</t>
  </si>
  <si>
    <t>1.12.20</t>
  </si>
  <si>
    <t>1.12.21</t>
  </si>
  <si>
    <t>1.12.22</t>
  </si>
  <si>
    <t>1.12.23</t>
  </si>
  <si>
    <t>1.12.24</t>
  </si>
  <si>
    <t>1.12.25</t>
  </si>
  <si>
    <t>1.12.26</t>
  </si>
  <si>
    <t>1.12.27</t>
  </si>
  <si>
    <t>1.12.28</t>
  </si>
  <si>
    <t>1.12.29</t>
  </si>
  <si>
    <t>1.12.30</t>
  </si>
  <si>
    <t>1.12.31</t>
  </si>
  <si>
    <t>1.12.32</t>
  </si>
  <si>
    <t>1.12.33</t>
  </si>
  <si>
    <t>1.12.34</t>
  </si>
  <si>
    <t>1.12.35</t>
  </si>
  <si>
    <t>1.12.36</t>
  </si>
  <si>
    <t>1.12.37</t>
  </si>
  <si>
    <t>1.12.38</t>
  </si>
  <si>
    <t>1.12.39</t>
  </si>
  <si>
    <t>1.12.40</t>
  </si>
  <si>
    <t>1.12.41</t>
  </si>
  <si>
    <t>1.12.42</t>
  </si>
  <si>
    <t>1.12.43</t>
  </si>
  <si>
    <t>1.12.44</t>
  </si>
  <si>
    <t>ED-50634</t>
  </si>
  <si>
    <t>1.13.2</t>
  </si>
  <si>
    <t>SICOR</t>
  </si>
  <si>
    <t>UM</t>
  </si>
  <si>
    <r>
      <rPr>
        <b/>
        <sz val="12"/>
        <rFont val="Times New Roman"/>
        <family val="1"/>
      </rPr>
      <t>REGIÃO/MÊS DE REFERÊNCIA:</t>
    </r>
    <r>
      <rPr>
        <sz val="12"/>
        <rFont val="Times New Roman"/>
        <family val="1"/>
      </rPr>
      <t xml:space="preserve"> SINAPI 04/2026 DESONERADO / SETOP 01/2026 DESONERADO / SUDECAP 04/2026 DESONERADO / ORSE 04/2026 DESONERADO</t>
    </r>
  </si>
  <si>
    <r>
      <rPr>
        <b/>
        <sz val="12"/>
        <rFont val="Times New Roman"/>
        <family val="1"/>
      </rPr>
      <t xml:space="preserve">LOCAL: </t>
    </r>
    <r>
      <rPr>
        <sz val="12"/>
        <rFont val="Times New Roman"/>
        <family val="1"/>
      </rPr>
      <t>Rua São João, 135 , Bela Vista, Olhos D'Água-MG.</t>
    </r>
  </si>
  <si>
    <t>Rua São João, 135 , Bela Vista, Olhos D'Água-MG.</t>
  </si>
  <si>
    <r>
      <t xml:space="preserve">LOCAL: </t>
    </r>
    <r>
      <rPr>
        <sz val="12"/>
        <rFont val="Times New Roman"/>
        <family val="1"/>
      </rPr>
      <t>Rua São João, 135 , Bela Vista, Olhos D'Água-MG.</t>
    </r>
  </si>
  <si>
    <t>PLACA DE ALUMÍNIO FUNDIDO, DIMENSÃO (60X40)CM, PARA INAUGURAÇÃO, INCLUSIVE FIXAÇÃO</t>
  </si>
  <si>
    <t>ED-50497</t>
  </si>
  <si>
    <r>
      <rPr>
        <b/>
        <sz val="12"/>
        <rFont val="Times New Roman"/>
        <family val="1"/>
      </rPr>
      <t>OBRA:</t>
    </r>
    <r>
      <rPr>
        <sz val="12"/>
        <rFont val="Times New Roman"/>
        <family val="1"/>
      </rPr>
      <t xml:space="preserve"> REFORMA DA UNIDADE DE ATENDIMENTO INTEGRADO (UAI)</t>
    </r>
  </si>
  <si>
    <t>REFORMA DA UNIDADE DE ATENDIMENTO INTEGRADO (UAI)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</si>
</sst>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\R\$\ #,##0.00"/>
    <numFmt numFmtId="166" formatCode="&quot;R$&quot;#,##0.00"/>
    <numFmt numFmtId="167" formatCode="&quot;R$&quot;\ 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u/>
      <sz val="18"/>
      <name val="Times New Roman"/>
      <family val="1"/>
    </font>
    <font>
      <sz val="12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DD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</cellStyleXfs>
  <cellXfs count="219">
    <xf numFmtId="0" fontId="0" fillId="0" borderId="0" xfId="0"/>
    <xf numFmtId="10" fontId="1" fillId="0" borderId="8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wrapText="1"/>
    </xf>
    <xf numFmtId="2" fontId="1" fillId="0" borderId="0" xfId="0" applyNumberFormat="1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0" xfId="0" applyAlignment="1">
      <alignment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/>
    <xf numFmtId="0" fontId="5" fillId="3" borderId="17" xfId="0" applyFont="1" applyFill="1" applyBorder="1" applyAlignment="1"/>
    <xf numFmtId="0" fontId="2" fillId="3" borderId="4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 wrapText="1"/>
    </xf>
    <xf numFmtId="10" fontId="1" fillId="0" borderId="1" xfId="1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0" xfId="0" applyFont="1"/>
    <xf numFmtId="10" fontId="2" fillId="3" borderId="8" xfId="1" applyNumberFormat="1" applyFont="1" applyFill="1" applyBorder="1" applyAlignment="1">
      <alignment horizontal="center" vertical="center"/>
    </xf>
    <xf numFmtId="44" fontId="2" fillId="3" borderId="1" xfId="7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Border="1"/>
    <xf numFmtId="0" fontId="1" fillId="0" borderId="14" xfId="0" applyFont="1" applyBorder="1"/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14" xfId="0" applyFont="1" applyBorder="1" applyAlignment="1">
      <alignment horizontal="center"/>
    </xf>
    <xf numFmtId="44" fontId="11" fillId="0" borderId="8" xfId="7" applyFont="1" applyBorder="1" applyAlignment="1">
      <alignment horizontal="center" vertical="center"/>
    </xf>
    <xf numFmtId="44" fontId="1" fillId="0" borderId="0" xfId="7" applyFont="1" applyBorder="1" applyAlignment="1" applyProtection="1">
      <alignment horizontal="center" wrapText="1"/>
      <protection locked="0"/>
    </xf>
    <xf numFmtId="44" fontId="1" fillId="0" borderId="0" xfId="7" applyFont="1" applyBorder="1" applyAlignment="1">
      <alignment horizontal="center"/>
    </xf>
    <xf numFmtId="44" fontId="1" fillId="0" borderId="12" xfId="7" applyFont="1" applyBorder="1" applyAlignment="1">
      <alignment horizontal="center"/>
    </xf>
    <xf numFmtId="44" fontId="1" fillId="0" borderId="14" xfId="7" applyFont="1" applyBorder="1" applyAlignment="1">
      <alignment horizontal="center"/>
    </xf>
    <xf numFmtId="44" fontId="1" fillId="0" borderId="15" xfId="7" applyFont="1" applyBorder="1" applyAlignment="1">
      <alignment horizontal="center"/>
    </xf>
    <xf numFmtId="44" fontId="1" fillId="0" borderId="0" xfId="7" applyFont="1" applyAlignment="1">
      <alignment horizontal="center"/>
    </xf>
    <xf numFmtId="10" fontId="11" fillId="5" borderId="1" xfId="1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11" fillId="4" borderId="1" xfId="6" applyNumberFormat="1" applyFont="1" applyFill="1" applyBorder="1" applyAlignment="1">
      <alignment horizontal="center" vertical="center" wrapText="1"/>
    </xf>
    <xf numFmtId="49" fontId="8" fillId="6" borderId="1" xfId="6" applyNumberFormat="1" applyFont="1" applyFill="1" applyBorder="1" applyAlignment="1">
      <alignment horizontal="center" vertical="center" wrapText="1"/>
    </xf>
    <xf numFmtId="49" fontId="11" fillId="6" borderId="1" xfId="6" applyNumberFormat="1" applyFont="1" applyFill="1" applyBorder="1" applyAlignment="1">
      <alignment horizontal="center" vertical="center" wrapText="1"/>
    </xf>
    <xf numFmtId="0" fontId="11" fillId="6" borderId="11" xfId="6" applyFont="1" applyFill="1" applyBorder="1" applyAlignment="1">
      <alignment wrapText="1"/>
    </xf>
    <xf numFmtId="0" fontId="8" fillId="0" borderId="11" xfId="6" applyFont="1" applyBorder="1" applyAlignment="1">
      <alignment vertical="center"/>
    </xf>
    <xf numFmtId="0" fontId="11" fillId="6" borderId="0" xfId="6" applyFont="1" applyFill="1" applyBorder="1" applyAlignment="1">
      <alignment wrapText="1"/>
    </xf>
    <xf numFmtId="0" fontId="8" fillId="0" borderId="0" xfId="6" applyFont="1" applyBorder="1" applyAlignment="1">
      <alignment vertical="center"/>
    </xf>
    <xf numFmtId="167" fontId="8" fillId="0" borderId="0" xfId="6" applyNumberFormat="1" applyFont="1" applyBorder="1" applyAlignment="1">
      <alignment vertical="center"/>
    </xf>
    <xf numFmtId="0" fontId="1" fillId="0" borderId="11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4" borderId="7" xfId="0" applyFont="1" applyFill="1" applyBorder="1" applyAlignment="1">
      <alignment horizontal="center" vertical="center" wrapText="1"/>
    </xf>
    <xf numFmtId="0" fontId="11" fillId="6" borderId="12" xfId="6" applyFont="1" applyFill="1" applyBorder="1" applyAlignment="1">
      <alignment wrapText="1"/>
    </xf>
    <xf numFmtId="0" fontId="8" fillId="0" borderId="12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10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8" fillId="0" borderId="16" xfId="6" applyFont="1" applyBorder="1" applyAlignment="1">
      <alignment horizontal="center" vertical="center"/>
    </xf>
    <xf numFmtId="0" fontId="8" fillId="0" borderId="0" xfId="6" applyFont="1" applyBorder="1" applyAlignment="1">
      <alignment horizontal="center" vertical="center"/>
    </xf>
    <xf numFmtId="166" fontId="8" fillId="6" borderId="1" xfId="4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10" fontId="11" fillId="6" borderId="1" xfId="6" applyNumberFormat="1" applyFont="1" applyFill="1" applyBorder="1" applyAlignment="1">
      <alignment horizontal="center" vertical="center" wrapText="1"/>
    </xf>
    <xf numFmtId="166" fontId="2" fillId="3" borderId="1" xfId="6" applyNumberFormat="1" applyFont="1" applyFill="1" applyBorder="1" applyAlignment="1">
      <alignment horizontal="center" vertical="center" wrapText="1"/>
    </xf>
    <xf numFmtId="44" fontId="2" fillId="3" borderId="8" xfId="7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4" fontId="2" fillId="3" borderId="19" xfId="7" applyFont="1" applyFill="1" applyBorder="1" applyAlignment="1">
      <alignment horizontal="center" vertical="center" wrapText="1"/>
    </xf>
    <xf numFmtId="44" fontId="11" fillId="0" borderId="1" xfId="7" applyFont="1" applyBorder="1" applyAlignment="1">
      <alignment horizontal="center" vertical="center"/>
    </xf>
    <xf numFmtId="44" fontId="11" fillId="0" borderId="1" xfId="7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165" fontId="10" fillId="0" borderId="1" xfId="0" applyNumberFormat="1" applyFont="1" applyBorder="1" applyAlignment="1">
      <alignment horizontal="right" vertical="center" wrapText="1"/>
    </xf>
    <xf numFmtId="44" fontId="10" fillId="0" borderId="1" xfId="7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4" fontId="10" fillId="0" borderId="8" xfId="7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7" applyFont="1" applyFill="1" applyBorder="1" applyAlignment="1">
      <alignment horizontal="center" vertical="center" wrapText="1"/>
    </xf>
    <xf numFmtId="44" fontId="2" fillId="3" borderId="8" xfId="7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44" fontId="9" fillId="0" borderId="18" xfId="7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4" fontId="11" fillId="0" borderId="1" xfId="7" applyFont="1" applyBorder="1" applyAlignment="1">
      <alignment horizontal="center" vertical="center"/>
    </xf>
    <xf numFmtId="14" fontId="11" fillId="0" borderId="1" xfId="7" applyNumberFormat="1" applyFont="1" applyBorder="1" applyAlignment="1">
      <alignment horizontal="center" vertical="center"/>
    </xf>
    <xf numFmtId="0" fontId="11" fillId="0" borderId="8" xfId="7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4" fontId="11" fillId="0" borderId="1" xfId="7" applyFont="1" applyBorder="1" applyAlignment="1">
      <alignment horizontal="center" vertical="center" wrapText="1"/>
    </xf>
    <xf numFmtId="2" fontId="11" fillId="0" borderId="1" xfId="7" applyNumberFormat="1" applyFont="1" applyBorder="1" applyAlignment="1">
      <alignment horizontal="center" vertical="center" wrapText="1"/>
    </xf>
    <xf numFmtId="2" fontId="11" fillId="0" borderId="8" xfId="7" applyNumberFormat="1" applyFont="1" applyBorder="1" applyAlignment="1">
      <alignment horizontal="center" vertical="center" wrapText="1"/>
    </xf>
    <xf numFmtId="44" fontId="11" fillId="0" borderId="8" xfId="7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wrapText="1"/>
    </xf>
    <xf numFmtId="2" fontId="1" fillId="0" borderId="0" xfId="0" applyNumberFormat="1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3" borderId="7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 wrapText="1"/>
    </xf>
    <xf numFmtId="10" fontId="11" fillId="4" borderId="1" xfId="6" applyNumberFormat="1" applyFont="1" applyFill="1" applyBorder="1" applyAlignment="1">
      <alignment horizontal="center" vertical="center" wrapText="1"/>
    </xf>
    <xf numFmtId="10" fontId="11" fillId="4" borderId="8" xfId="6" applyNumberFormat="1" applyFont="1" applyFill="1" applyBorder="1" applyAlignment="1">
      <alignment horizontal="center" vertical="center" wrapText="1"/>
    </xf>
    <xf numFmtId="166" fontId="8" fillId="6" borderId="1" xfId="4" applyNumberFormat="1" applyFont="1" applyFill="1" applyBorder="1" applyAlignment="1">
      <alignment horizontal="center" vertical="center" wrapText="1"/>
    </xf>
    <xf numFmtId="166" fontId="8" fillId="6" borderId="8" xfId="4" applyNumberFormat="1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1" fillId="6" borderId="7" xfId="6" applyFont="1" applyFill="1" applyBorder="1" applyAlignment="1">
      <alignment horizontal="center" vertical="center" wrapText="1"/>
    </xf>
    <xf numFmtId="0" fontId="11" fillId="6" borderId="1" xfId="6" applyFont="1" applyFill="1" applyBorder="1" applyAlignment="1">
      <alignment vertical="center" wrapText="1"/>
    </xf>
    <xf numFmtId="0" fontId="11" fillId="6" borderId="1" xfId="6" applyFont="1" applyFill="1" applyBorder="1" applyAlignment="1">
      <alignment horizontal="center" vertical="center" wrapText="1"/>
    </xf>
    <xf numFmtId="10" fontId="11" fillId="6" borderId="1" xfId="6" applyNumberFormat="1" applyFont="1" applyFill="1" applyBorder="1" applyAlignment="1">
      <alignment horizontal="center" vertical="center" wrapText="1"/>
    </xf>
    <xf numFmtId="10" fontId="11" fillId="6" borderId="8" xfId="6" applyNumberFormat="1" applyFont="1" applyFill="1" applyBorder="1" applyAlignment="1">
      <alignment horizontal="center" vertical="center" wrapText="1"/>
    </xf>
    <xf numFmtId="166" fontId="2" fillId="3" borderId="1" xfId="6" applyNumberFormat="1" applyFont="1" applyFill="1" applyBorder="1" applyAlignment="1">
      <alignment horizontal="center" vertical="center" wrapText="1"/>
    </xf>
    <xf numFmtId="166" fontId="2" fillId="3" borderId="8" xfId="6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2" fillId="3" borderId="1" xfId="6" applyFont="1" applyFill="1" applyBorder="1" applyAlignment="1">
      <alignment horizontal="center" vertical="center" wrapText="1"/>
    </xf>
    <xf numFmtId="0" fontId="2" fillId="3" borderId="8" xfId="6" applyFont="1" applyFill="1" applyBorder="1" applyAlignment="1">
      <alignment horizontal="center" vertical="center" wrapText="1"/>
    </xf>
    <xf numFmtId="0" fontId="2" fillId="3" borderId="1" xfId="6" applyFont="1" applyFill="1" applyBorder="1" applyAlignment="1">
      <alignment horizontal="center" vertical="center"/>
    </xf>
    <xf numFmtId="0" fontId="2" fillId="3" borderId="8" xfId="6" applyFont="1" applyFill="1" applyBorder="1" applyAlignment="1">
      <alignment horizontal="center" vertical="center"/>
    </xf>
    <xf numFmtId="0" fontId="13" fillId="3" borderId="7" xfId="6" applyFont="1" applyFill="1" applyBorder="1" applyAlignment="1">
      <alignment horizontal="center" vertical="center" wrapText="1"/>
    </xf>
    <xf numFmtId="0" fontId="11" fillId="6" borderId="26" xfId="6" applyFont="1" applyFill="1" applyBorder="1" applyAlignment="1">
      <alignment horizontal="left" vertical="center" wrapText="1"/>
    </xf>
    <xf numFmtId="0" fontId="11" fillId="6" borderId="27" xfId="6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0" fontId="8" fillId="0" borderId="16" xfId="6" applyFont="1" applyBorder="1" applyAlignment="1">
      <alignment horizontal="center" vertical="center"/>
    </xf>
    <xf numFmtId="0" fontId="8" fillId="0" borderId="0" xfId="6" applyFont="1" applyBorder="1" applyAlignment="1">
      <alignment horizontal="center" vertical="center"/>
    </xf>
  </cellXfs>
  <cellStyles count="8">
    <cellStyle name="Moeda" xfId="7" builtinId="4"/>
    <cellStyle name="Moeda 3 2" xfId="4" xr:uid="{36A2E5C7-C771-41E4-B205-6AE14B8E446C}"/>
    <cellStyle name="Moeda 4" xfId="5" xr:uid="{FD79DDB4-802B-49AF-B004-6168D69F8588}"/>
    <cellStyle name="Normal" xfId="0" builtinId="0"/>
    <cellStyle name="Normal 2 2" xfId="6" xr:uid="{3866BFAB-D46F-4F91-9CE0-8DE42D4CA493}"/>
    <cellStyle name="Normal 6" xfId="2" xr:uid="{48E62074-22D3-46DA-93F6-F8E541CAEE2E}"/>
    <cellStyle name="Porcentagem" xfId="1" builtinId="5"/>
    <cellStyle name="Vírgula 7" xfId="3" xr:uid="{81AAFB65-ABF2-4FDB-A0FB-F8A45BBBE1BF}"/>
  </cellStyles>
  <dxfs count="0"/>
  <tableStyles count="0" defaultTableStyle="TableStyleMedium2" defaultPivotStyle="PivotStyleLight16"/>
  <colors>
    <mruColors>
      <color rgb="FF008080"/>
      <color rgb="FF009999"/>
      <color rgb="FF006666"/>
      <color rgb="FF66CCFF"/>
      <color rgb="FF00CC99"/>
      <color rgb="FF0066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802822</xdr:colOff>
      <xdr:row>0</xdr:row>
      <xdr:rowOff>97971</xdr:rowOff>
    </xdr:from>
    <xdr:to>
      <xdr:col>9</xdr:col>
      <xdr:colOff>918237</xdr:colOff>
      <xdr:row>0</xdr:row>
      <xdr:rowOff>774246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42AEE36-4F3C-42B7-ADB4-1F846BF6D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1" y="97971"/>
          <a:ext cx="3993450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439966</xdr:colOff>
      <xdr:row>0</xdr:row>
      <xdr:rowOff>140494</xdr:rowOff>
    </xdr:from>
    <xdr:to>
      <xdr:col>10</xdr:col>
      <xdr:colOff>1158309</xdr:colOff>
      <xdr:row>1</xdr:row>
      <xdr:rowOff>360435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A2B8A99-9449-4BC4-BE63-29ED94E1F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31180" y="140494"/>
          <a:ext cx="4892334" cy="432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845344</xdr:colOff>
      <xdr:row>0</xdr:row>
      <xdr:rowOff>0</xdr:rowOff>
    </xdr:from>
    <xdr:to>
      <xdr:col>8</xdr:col>
      <xdr:colOff>1107241</xdr:colOff>
      <xdr:row>1</xdr:row>
      <xdr:rowOff>219074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D2B558-B583-4D5E-9D19-23165AB06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0"/>
          <a:ext cx="3267942" cy="564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3B0E-354A-4B15-A1B3-BAB2834CF0A7}">
  <sheetPr>
    <pageSetUpPr fitToPage="1"/>
  </sheetPr>
  <dimension ref="A1:K169"/>
  <sheetViews>
    <sheetView view="pageBreakPreview" topLeftCell="A147" zoomScale="70" zoomScaleNormal="110" zoomScaleSheetLayoutView="70" zoomScalePageLayoutView="80" workbookViewId="0">
      <selection activeCell="A3" sqref="A3:F3"/>
    </sheetView>
  </sheetViews>
  <sheetFormatPr defaultRowHeight="15.75" x14ac:dyDescent="0.25"/>
  <cols>
    <col min="1" max="1" width="10.85546875" style="25" customWidth="1"/>
    <col min="2" max="2" width="14.7109375" style="15" customWidth="1"/>
    <col min="3" max="3" width="100" style="15" customWidth="1"/>
    <col min="4" max="5" width="14.42578125" style="15" customWidth="1"/>
    <col min="6" max="6" width="17.7109375" style="25" customWidth="1"/>
    <col min="7" max="10" width="19.42578125" style="34" customWidth="1"/>
    <col min="11" max="11" width="12.28515625" customWidth="1"/>
  </cols>
  <sheetData>
    <row r="1" spans="1:11" ht="63.75" customHeight="1" x14ac:dyDescent="0.25">
      <c r="A1" s="101" t="s">
        <v>125</v>
      </c>
      <c r="B1" s="102"/>
      <c r="C1" s="102"/>
      <c r="D1" s="102"/>
      <c r="E1" s="102"/>
      <c r="F1" s="102"/>
      <c r="G1" s="102"/>
      <c r="H1" s="102"/>
      <c r="I1" s="102"/>
      <c r="J1" s="103"/>
      <c r="K1" s="15"/>
    </row>
    <row r="2" spans="1:11" x14ac:dyDescent="0.25">
      <c r="A2" s="93" t="s">
        <v>25</v>
      </c>
      <c r="B2" s="94"/>
      <c r="C2" s="94"/>
      <c r="D2" s="94"/>
      <c r="E2" s="94"/>
      <c r="F2" s="94"/>
      <c r="G2" s="94"/>
      <c r="H2" s="94"/>
      <c r="I2" s="94"/>
      <c r="J2" s="104"/>
      <c r="K2" s="15"/>
    </row>
    <row r="3" spans="1:11" x14ac:dyDescent="0.25">
      <c r="A3" s="105" t="s">
        <v>635</v>
      </c>
      <c r="B3" s="106"/>
      <c r="C3" s="106"/>
      <c r="D3" s="106"/>
      <c r="E3" s="106"/>
      <c r="F3" s="106"/>
      <c r="G3" s="107" t="s">
        <v>126</v>
      </c>
      <c r="H3" s="107"/>
      <c r="I3" s="108">
        <f ca="1">TODAY()</f>
        <v>46224</v>
      </c>
      <c r="J3" s="109"/>
      <c r="K3" s="15"/>
    </row>
    <row r="4" spans="1:11" x14ac:dyDescent="0.25">
      <c r="A4" s="110" t="s">
        <v>630</v>
      </c>
      <c r="B4" s="111"/>
      <c r="C4" s="111"/>
      <c r="D4" s="111"/>
      <c r="E4" s="111"/>
      <c r="F4" s="111"/>
      <c r="G4" s="112" t="s">
        <v>127</v>
      </c>
      <c r="H4" s="112"/>
      <c r="I4" s="113"/>
      <c r="J4" s="114"/>
      <c r="K4" s="15"/>
    </row>
    <row r="5" spans="1:11" x14ac:dyDescent="0.25">
      <c r="A5" s="110" t="s">
        <v>128</v>
      </c>
      <c r="B5" s="111"/>
      <c r="C5" s="111"/>
      <c r="D5" s="111"/>
      <c r="E5" s="111"/>
      <c r="F5" s="111"/>
      <c r="G5" s="112" t="s">
        <v>129</v>
      </c>
      <c r="H5" s="112"/>
      <c r="I5" s="112"/>
      <c r="J5" s="115"/>
      <c r="K5" s="15"/>
    </row>
    <row r="6" spans="1:11" x14ac:dyDescent="0.25">
      <c r="A6" s="98" t="s">
        <v>629</v>
      </c>
      <c r="B6" s="99"/>
      <c r="C6" s="99"/>
      <c r="D6" s="99"/>
      <c r="E6" s="99"/>
      <c r="F6" s="99"/>
      <c r="G6" s="77" t="s">
        <v>130</v>
      </c>
      <c r="H6" s="77" t="s">
        <v>131</v>
      </c>
      <c r="I6" s="77" t="s">
        <v>132</v>
      </c>
      <c r="J6" s="28" t="s">
        <v>133</v>
      </c>
      <c r="K6" s="15"/>
    </row>
    <row r="7" spans="1:11" ht="31.5" x14ac:dyDescent="0.25">
      <c r="A7" s="98" t="s">
        <v>134</v>
      </c>
      <c r="B7" s="99"/>
      <c r="C7" s="99"/>
      <c r="D7" s="99"/>
      <c r="E7" s="99"/>
      <c r="F7" s="99"/>
      <c r="G7" s="78" t="s">
        <v>135</v>
      </c>
      <c r="H7" s="35">
        <v>0.03</v>
      </c>
      <c r="I7" s="77" t="s">
        <v>11</v>
      </c>
      <c r="J7" s="16">
        <v>0.2661</v>
      </c>
      <c r="K7" s="15"/>
    </row>
    <row r="8" spans="1:11" x14ac:dyDescent="0.25">
      <c r="A8" s="90"/>
      <c r="B8" s="91"/>
      <c r="C8" s="91"/>
      <c r="D8" s="91"/>
      <c r="E8" s="91"/>
      <c r="F8" s="91"/>
      <c r="G8" s="91"/>
      <c r="H8" s="91"/>
      <c r="I8" s="91"/>
      <c r="J8" s="92"/>
      <c r="K8" s="15"/>
    </row>
    <row r="9" spans="1:11" x14ac:dyDescent="0.25">
      <c r="A9" s="93" t="s">
        <v>81</v>
      </c>
      <c r="B9" s="94" t="s">
        <v>82</v>
      </c>
      <c r="C9" s="94" t="s">
        <v>83</v>
      </c>
      <c r="D9" s="94" t="s">
        <v>84</v>
      </c>
      <c r="E9" s="94" t="s">
        <v>85</v>
      </c>
      <c r="F9" s="94" t="s">
        <v>86</v>
      </c>
      <c r="G9" s="95" t="s">
        <v>87</v>
      </c>
      <c r="H9" s="95"/>
      <c r="I9" s="95" t="s">
        <v>88</v>
      </c>
      <c r="J9" s="96"/>
      <c r="K9" s="15"/>
    </row>
    <row r="10" spans="1:11" x14ac:dyDescent="0.25">
      <c r="A10" s="93"/>
      <c r="B10" s="94"/>
      <c r="C10" s="94"/>
      <c r="D10" s="94"/>
      <c r="E10" s="94"/>
      <c r="F10" s="94"/>
      <c r="G10" s="17" t="s">
        <v>89</v>
      </c>
      <c r="H10" s="17" t="s">
        <v>90</v>
      </c>
      <c r="I10" s="17" t="s">
        <v>89</v>
      </c>
      <c r="J10" s="69" t="s">
        <v>90</v>
      </c>
      <c r="K10" s="15"/>
    </row>
    <row r="11" spans="1:11" x14ac:dyDescent="0.25">
      <c r="A11" s="18" t="s">
        <v>91</v>
      </c>
      <c r="B11" s="94" t="s">
        <v>220</v>
      </c>
      <c r="C11" s="94"/>
      <c r="D11" s="94"/>
      <c r="E11" s="94"/>
      <c r="F11" s="94"/>
      <c r="G11" s="94"/>
      <c r="H11" s="94"/>
      <c r="I11" s="17">
        <f>ROUND(SUM(I12+I14+I21+I27+I29+I36+I45+I50+I58+I72+I86+I112+I157),20)</f>
        <v>127541.82</v>
      </c>
      <c r="J11" s="69">
        <f>ROUND(SUM(J12+J14+J21+J27+J29+J36+J45+J50+J58+J72+J86+J112+J157),20)</f>
        <v>161471.54999999999</v>
      </c>
    </row>
    <row r="12" spans="1:11" x14ac:dyDescent="0.25">
      <c r="A12" s="18" t="s">
        <v>15</v>
      </c>
      <c r="B12" s="97" t="s">
        <v>18</v>
      </c>
      <c r="C12" s="97"/>
      <c r="D12" s="97"/>
      <c r="E12" s="97"/>
      <c r="F12" s="97"/>
      <c r="G12" s="97"/>
      <c r="H12" s="97"/>
      <c r="I12" s="17">
        <f>ROUND(SUM(I13),2)</f>
        <v>1187.0999999999999</v>
      </c>
      <c r="J12" s="69">
        <f>ROUND(SUM(J13),2)</f>
        <v>1502.99</v>
      </c>
    </row>
    <row r="13" spans="1:11" ht="63" x14ac:dyDescent="0.25">
      <c r="A13" s="86" t="s">
        <v>16</v>
      </c>
      <c r="B13" s="81" t="s">
        <v>92</v>
      </c>
      <c r="C13" s="82" t="s">
        <v>44</v>
      </c>
      <c r="D13" s="81" t="s">
        <v>627</v>
      </c>
      <c r="E13" s="81" t="s">
        <v>94</v>
      </c>
      <c r="F13" s="83">
        <f>'MEMÓRIA DE CÁLCULO '!J12</f>
        <v>1</v>
      </c>
      <c r="G13" s="84">
        <v>1187.0999999999999</v>
      </c>
      <c r="H13" s="85">
        <f>ROUND(SUM(G13*(1+$J$7)),2)</f>
        <v>1502.99</v>
      </c>
      <c r="I13" s="85">
        <f>ROUND(SUM(F13*G13),2)</f>
        <v>1187.0999999999999</v>
      </c>
      <c r="J13" s="87">
        <f>ROUND(SUM(F13*H13),2)</f>
        <v>1502.99</v>
      </c>
    </row>
    <row r="14" spans="1:11" x14ac:dyDescent="0.25">
      <c r="A14" s="18" t="s">
        <v>21</v>
      </c>
      <c r="B14" s="97" t="s">
        <v>259</v>
      </c>
      <c r="C14" s="97"/>
      <c r="D14" s="97"/>
      <c r="E14" s="97"/>
      <c r="F14" s="97"/>
      <c r="G14" s="97"/>
      <c r="H14" s="97"/>
      <c r="I14" s="17">
        <f>ROUND(SUM(I15:I20),2)</f>
        <v>2493.96</v>
      </c>
      <c r="J14" s="69">
        <f>ROUND(SUM(J15:J20),2)</f>
        <v>3157.39</v>
      </c>
    </row>
    <row r="15" spans="1:11" ht="31.5" x14ac:dyDescent="0.25">
      <c r="A15" s="86" t="s">
        <v>17</v>
      </c>
      <c r="B15" s="81" t="s">
        <v>171</v>
      </c>
      <c r="C15" s="82" t="s">
        <v>148</v>
      </c>
      <c r="D15" s="81" t="s">
        <v>95</v>
      </c>
      <c r="E15" s="81" t="s">
        <v>108</v>
      </c>
      <c r="F15" s="83">
        <f>'MEMÓRIA DE CÁLCULO '!J22</f>
        <v>6.28</v>
      </c>
      <c r="G15" s="84">
        <v>62.98</v>
      </c>
      <c r="H15" s="85">
        <f>ROUND(SUM(G15*(1+$J$7)),2)</f>
        <v>79.739999999999995</v>
      </c>
      <c r="I15" s="85">
        <f>ROUND(SUM(F15*G15),2)</f>
        <v>395.51</v>
      </c>
      <c r="J15" s="87">
        <f>ROUND(SUM(F15*H15),2)</f>
        <v>500.77</v>
      </c>
    </row>
    <row r="16" spans="1:11" ht="47.25" x14ac:dyDescent="0.25">
      <c r="A16" s="86" t="s">
        <v>29</v>
      </c>
      <c r="B16" s="81" t="s">
        <v>172</v>
      </c>
      <c r="C16" s="82" t="s">
        <v>149</v>
      </c>
      <c r="D16" s="81" t="s">
        <v>627</v>
      </c>
      <c r="E16" s="81" t="s">
        <v>97</v>
      </c>
      <c r="F16" s="83">
        <f>'MEMÓRIA DE CÁLCULO '!J28</f>
        <v>13.81</v>
      </c>
      <c r="G16" s="84">
        <v>19.28</v>
      </c>
      <c r="H16" s="85">
        <f t="shared" ref="H16:H20" si="0">ROUND(SUM(G16*(1+$J$7)),2)</f>
        <v>24.41</v>
      </c>
      <c r="I16" s="85">
        <f t="shared" ref="I16:I20" si="1">ROUND(SUM(F16*G16),2)</f>
        <v>266.26</v>
      </c>
      <c r="J16" s="87">
        <f t="shared" ref="J16:J20" si="2">ROUND(SUM(F16*H16),2)</f>
        <v>337.1</v>
      </c>
    </row>
    <row r="17" spans="1:10" ht="47.25" x14ac:dyDescent="0.25">
      <c r="A17" s="86" t="s">
        <v>33</v>
      </c>
      <c r="B17" s="81" t="s">
        <v>173</v>
      </c>
      <c r="C17" s="82" t="s">
        <v>150</v>
      </c>
      <c r="D17" s="81" t="s">
        <v>627</v>
      </c>
      <c r="E17" s="81" t="s">
        <v>97</v>
      </c>
      <c r="F17" s="83">
        <f>'MEMÓRIA DE CÁLCULO '!J34</f>
        <v>41.58</v>
      </c>
      <c r="G17" s="84">
        <v>24.1</v>
      </c>
      <c r="H17" s="85">
        <f t="shared" si="0"/>
        <v>30.51</v>
      </c>
      <c r="I17" s="85">
        <f t="shared" si="1"/>
        <v>1002.08</v>
      </c>
      <c r="J17" s="87">
        <f t="shared" si="2"/>
        <v>1268.6099999999999</v>
      </c>
    </row>
    <row r="18" spans="1:10" ht="47.25" x14ac:dyDescent="0.25">
      <c r="A18" s="86" t="s">
        <v>34</v>
      </c>
      <c r="B18" s="81" t="s">
        <v>174</v>
      </c>
      <c r="C18" s="82" t="s">
        <v>151</v>
      </c>
      <c r="D18" s="81" t="s">
        <v>627</v>
      </c>
      <c r="E18" s="81" t="s">
        <v>94</v>
      </c>
      <c r="F18" s="83">
        <f>'MEMÓRIA DE CÁLCULO '!J40</f>
        <v>9</v>
      </c>
      <c r="G18" s="84">
        <v>50.1</v>
      </c>
      <c r="H18" s="85">
        <f t="shared" si="0"/>
        <v>63.43</v>
      </c>
      <c r="I18" s="85">
        <f t="shared" si="1"/>
        <v>450.9</v>
      </c>
      <c r="J18" s="87">
        <f t="shared" si="2"/>
        <v>570.87</v>
      </c>
    </row>
    <row r="19" spans="1:10" ht="47.25" x14ac:dyDescent="0.25">
      <c r="A19" s="86" t="s">
        <v>35</v>
      </c>
      <c r="B19" s="81" t="s">
        <v>175</v>
      </c>
      <c r="C19" s="82" t="s">
        <v>152</v>
      </c>
      <c r="D19" s="81" t="s">
        <v>627</v>
      </c>
      <c r="E19" s="81" t="s">
        <v>97</v>
      </c>
      <c r="F19" s="83">
        <f>'MEMÓRIA DE CÁLCULO '!J49</f>
        <v>20</v>
      </c>
      <c r="G19" s="84">
        <v>10.61</v>
      </c>
      <c r="H19" s="85">
        <f t="shared" si="0"/>
        <v>13.43</v>
      </c>
      <c r="I19" s="85">
        <f t="shared" si="1"/>
        <v>212.2</v>
      </c>
      <c r="J19" s="87">
        <f t="shared" si="2"/>
        <v>268.60000000000002</v>
      </c>
    </row>
    <row r="20" spans="1:10" ht="31.5" x14ac:dyDescent="0.25">
      <c r="A20" s="86" t="s">
        <v>47</v>
      </c>
      <c r="B20" s="81" t="s">
        <v>176</v>
      </c>
      <c r="C20" s="82" t="s">
        <v>153</v>
      </c>
      <c r="D20" s="81" t="s">
        <v>95</v>
      </c>
      <c r="E20" s="81" t="s">
        <v>108</v>
      </c>
      <c r="F20" s="83">
        <f>'MEMÓRIA DE CÁLCULO '!J54</f>
        <v>1.38</v>
      </c>
      <c r="G20" s="84">
        <v>121.02</v>
      </c>
      <c r="H20" s="85">
        <f t="shared" si="0"/>
        <v>153.22</v>
      </c>
      <c r="I20" s="85">
        <f t="shared" si="1"/>
        <v>167.01</v>
      </c>
      <c r="J20" s="87">
        <f t="shared" si="2"/>
        <v>211.44</v>
      </c>
    </row>
    <row r="21" spans="1:10" x14ac:dyDescent="0.25">
      <c r="A21" s="18" t="s">
        <v>99</v>
      </c>
      <c r="B21" s="97" t="s">
        <v>260</v>
      </c>
      <c r="C21" s="97"/>
      <c r="D21" s="97"/>
      <c r="E21" s="97"/>
      <c r="F21" s="97"/>
      <c r="G21" s="97"/>
      <c r="H21" s="97"/>
      <c r="I21" s="17">
        <f>ROUND(SUM(I22:I26),2)</f>
        <v>15935.65</v>
      </c>
      <c r="J21" s="69">
        <f>ROUND(SUM(J22:J26),2)</f>
        <v>20176.259999999998</v>
      </c>
    </row>
    <row r="22" spans="1:10" ht="47.25" x14ac:dyDescent="0.25">
      <c r="A22" s="86" t="s">
        <v>101</v>
      </c>
      <c r="B22" s="81" t="s">
        <v>221</v>
      </c>
      <c r="C22" s="82" t="s">
        <v>222</v>
      </c>
      <c r="D22" s="81" t="s">
        <v>95</v>
      </c>
      <c r="E22" s="81" t="s">
        <v>96</v>
      </c>
      <c r="F22" s="83">
        <f>'MEMÓRIA DE CÁLCULO '!J67</f>
        <v>20.32</v>
      </c>
      <c r="G22" s="84">
        <v>68.86</v>
      </c>
      <c r="H22" s="85">
        <f>ROUND(SUM(G22*(1+$J$7)),2)</f>
        <v>87.18</v>
      </c>
      <c r="I22" s="85">
        <f>ROUND(SUM(F22*G22),2)</f>
        <v>1399.24</v>
      </c>
      <c r="J22" s="87">
        <f>ROUND(SUM(F22*H22),2)</f>
        <v>1771.5</v>
      </c>
    </row>
    <row r="23" spans="1:10" ht="47.25" x14ac:dyDescent="0.25">
      <c r="A23" s="86" t="s">
        <v>102</v>
      </c>
      <c r="B23" s="81" t="s">
        <v>223</v>
      </c>
      <c r="C23" s="82" t="s">
        <v>224</v>
      </c>
      <c r="D23" s="81" t="s">
        <v>95</v>
      </c>
      <c r="E23" s="81" t="s">
        <v>96</v>
      </c>
      <c r="F23" s="83">
        <f>'MEMÓRIA DE CÁLCULO '!J72</f>
        <v>97.96</v>
      </c>
      <c r="G23" s="84">
        <v>125.89</v>
      </c>
      <c r="H23" s="85">
        <f t="shared" ref="H23:H26" si="3">ROUND(SUM(G23*(1+$J$7)),2)</f>
        <v>159.38999999999999</v>
      </c>
      <c r="I23" s="85">
        <f t="shared" ref="I23:I26" si="4">ROUND(SUM(F23*G23),2)</f>
        <v>12332.18</v>
      </c>
      <c r="J23" s="87">
        <f t="shared" ref="J23:J26" si="5">ROUND(SUM(F23*H23),2)</f>
        <v>15613.84</v>
      </c>
    </row>
    <row r="24" spans="1:10" ht="47.25" x14ac:dyDescent="0.25">
      <c r="A24" s="86" t="s">
        <v>103</v>
      </c>
      <c r="B24" s="81" t="s">
        <v>225</v>
      </c>
      <c r="C24" s="82" t="s">
        <v>226</v>
      </c>
      <c r="D24" s="81" t="s">
        <v>95</v>
      </c>
      <c r="E24" s="81" t="s">
        <v>96</v>
      </c>
      <c r="F24" s="83">
        <f>'MEMÓRIA DE CÁLCULO '!J77</f>
        <v>40.64</v>
      </c>
      <c r="G24" s="84">
        <v>9.1300000000000008</v>
      </c>
      <c r="H24" s="85">
        <f t="shared" si="3"/>
        <v>11.56</v>
      </c>
      <c r="I24" s="85">
        <f t="shared" si="4"/>
        <v>371.04</v>
      </c>
      <c r="J24" s="87">
        <f t="shared" si="5"/>
        <v>469.8</v>
      </c>
    </row>
    <row r="25" spans="1:10" ht="47.25" x14ac:dyDescent="0.25">
      <c r="A25" s="86" t="s">
        <v>104</v>
      </c>
      <c r="B25" s="81" t="s">
        <v>123</v>
      </c>
      <c r="C25" s="82" t="s">
        <v>78</v>
      </c>
      <c r="D25" s="81" t="s">
        <v>627</v>
      </c>
      <c r="E25" s="81" t="s">
        <v>97</v>
      </c>
      <c r="F25" s="83">
        <f>'MEMÓRIA DE CÁLCULO '!J82</f>
        <v>40.64</v>
      </c>
      <c r="G25" s="84">
        <v>40.65</v>
      </c>
      <c r="H25" s="85">
        <f t="shared" si="3"/>
        <v>51.47</v>
      </c>
      <c r="I25" s="85">
        <f t="shared" si="4"/>
        <v>1652.02</v>
      </c>
      <c r="J25" s="87">
        <f t="shared" si="5"/>
        <v>2091.7399999999998</v>
      </c>
    </row>
    <row r="26" spans="1:10" x14ac:dyDescent="0.25">
      <c r="A26" s="86" t="s">
        <v>105</v>
      </c>
      <c r="B26" s="81" t="s">
        <v>177</v>
      </c>
      <c r="C26" s="82" t="s">
        <v>167</v>
      </c>
      <c r="D26" s="81" t="s">
        <v>95</v>
      </c>
      <c r="E26" s="81" t="s">
        <v>98</v>
      </c>
      <c r="F26" s="83">
        <f>'MEMÓRIA DE CÁLCULO '!J87</f>
        <v>3</v>
      </c>
      <c r="G26" s="84">
        <v>60.39</v>
      </c>
      <c r="H26" s="85">
        <f t="shared" si="3"/>
        <v>76.459999999999994</v>
      </c>
      <c r="I26" s="85">
        <f t="shared" si="4"/>
        <v>181.17</v>
      </c>
      <c r="J26" s="87">
        <f t="shared" si="5"/>
        <v>229.38</v>
      </c>
    </row>
    <row r="27" spans="1:10" x14ac:dyDescent="0.25">
      <c r="A27" s="18" t="s">
        <v>49</v>
      </c>
      <c r="B27" s="97" t="s">
        <v>46</v>
      </c>
      <c r="C27" s="97"/>
      <c r="D27" s="97"/>
      <c r="E27" s="97"/>
      <c r="F27" s="97"/>
      <c r="G27" s="97"/>
      <c r="H27" s="97"/>
      <c r="I27" s="17">
        <f>ROUND(SUM(I28:I28),2)</f>
        <v>8169.02</v>
      </c>
      <c r="J27" s="69">
        <f>ROUND(SUM(J28:J28),2)</f>
        <v>10342.799999999999</v>
      </c>
    </row>
    <row r="28" spans="1:10" ht="47.25" x14ac:dyDescent="0.25">
      <c r="A28" s="86" t="s">
        <v>50</v>
      </c>
      <c r="B28" s="81" t="s">
        <v>227</v>
      </c>
      <c r="C28" s="82" t="s">
        <v>228</v>
      </c>
      <c r="D28" s="81" t="s">
        <v>627</v>
      </c>
      <c r="E28" s="81" t="s">
        <v>97</v>
      </c>
      <c r="F28" s="83">
        <f>'MEMÓRIA DE CÁLCULO '!J100</f>
        <v>103.76</v>
      </c>
      <c r="G28" s="84">
        <v>78.73</v>
      </c>
      <c r="H28" s="85">
        <f>ROUND(SUM(G28*(1+$J$7)),2)</f>
        <v>99.68</v>
      </c>
      <c r="I28" s="85">
        <f>ROUND(SUM(F28*G28),2)</f>
        <v>8169.02</v>
      </c>
      <c r="J28" s="87">
        <f>ROUND(SUM(F28*H28),2)</f>
        <v>10342.799999999999</v>
      </c>
    </row>
    <row r="29" spans="1:10" x14ac:dyDescent="0.25">
      <c r="A29" s="18" t="s">
        <v>54</v>
      </c>
      <c r="B29" s="97" t="s">
        <v>48</v>
      </c>
      <c r="C29" s="97"/>
      <c r="D29" s="97"/>
      <c r="E29" s="97"/>
      <c r="F29" s="97"/>
      <c r="G29" s="97"/>
      <c r="H29" s="97"/>
      <c r="I29" s="17">
        <f>ROUND(SUM(I30:I35),2)</f>
        <v>16721.46</v>
      </c>
      <c r="J29" s="69">
        <f>ROUND(SUM(J30:J35),2)</f>
        <v>21170.21</v>
      </c>
    </row>
    <row r="30" spans="1:10" ht="31.5" x14ac:dyDescent="0.25">
      <c r="A30" s="86" t="s">
        <v>55</v>
      </c>
      <c r="B30" s="81" t="s">
        <v>229</v>
      </c>
      <c r="C30" s="82" t="s">
        <v>230</v>
      </c>
      <c r="D30" s="81" t="s">
        <v>95</v>
      </c>
      <c r="E30" s="81" t="s">
        <v>108</v>
      </c>
      <c r="F30" s="83">
        <f>'MEMÓRIA DE CÁLCULO '!J106</f>
        <v>0.93</v>
      </c>
      <c r="G30" s="84">
        <v>936.74</v>
      </c>
      <c r="H30" s="85">
        <f t="shared" ref="H30:H35" si="6">ROUND(SUM(G30*(1+$J$7)),2)</f>
        <v>1186.01</v>
      </c>
      <c r="I30" s="85">
        <f t="shared" ref="I30:I35" si="7">ROUND(SUM(F30*G30),2)</f>
        <v>871.17</v>
      </c>
      <c r="J30" s="87">
        <f t="shared" ref="J30:J35" si="8">ROUND(SUM(F30*H30),2)</f>
        <v>1102.99</v>
      </c>
    </row>
    <row r="31" spans="1:10" ht="31.5" x14ac:dyDescent="0.25">
      <c r="A31" s="86" t="s">
        <v>56</v>
      </c>
      <c r="B31" s="81" t="s">
        <v>231</v>
      </c>
      <c r="C31" s="82" t="s">
        <v>232</v>
      </c>
      <c r="D31" s="81" t="s">
        <v>627</v>
      </c>
      <c r="E31" s="81" t="s">
        <v>97</v>
      </c>
      <c r="F31" s="83">
        <f>'MEMÓRIA DE CÁLCULO '!J112</f>
        <v>21.8</v>
      </c>
      <c r="G31" s="84">
        <v>40.79</v>
      </c>
      <c r="H31" s="85">
        <f t="shared" si="6"/>
        <v>51.64</v>
      </c>
      <c r="I31" s="85">
        <f t="shared" si="7"/>
        <v>889.22</v>
      </c>
      <c r="J31" s="87">
        <f t="shared" si="8"/>
        <v>1125.75</v>
      </c>
    </row>
    <row r="32" spans="1:10" ht="31.5" x14ac:dyDescent="0.25">
      <c r="A32" s="86" t="s">
        <v>57</v>
      </c>
      <c r="B32" s="81" t="s">
        <v>233</v>
      </c>
      <c r="C32" s="82" t="s">
        <v>234</v>
      </c>
      <c r="D32" s="81" t="s">
        <v>95</v>
      </c>
      <c r="E32" s="81" t="s">
        <v>96</v>
      </c>
      <c r="F32" s="83">
        <f>'MEMÓRIA DE CÁLCULO '!J130</f>
        <v>154.06</v>
      </c>
      <c r="G32" s="84">
        <v>63.52</v>
      </c>
      <c r="H32" s="85">
        <f t="shared" si="6"/>
        <v>80.42</v>
      </c>
      <c r="I32" s="85">
        <f t="shared" si="7"/>
        <v>9785.89</v>
      </c>
      <c r="J32" s="87">
        <f t="shared" si="8"/>
        <v>12389.51</v>
      </c>
    </row>
    <row r="33" spans="1:10" ht="31.5" x14ac:dyDescent="0.25">
      <c r="A33" s="86" t="s">
        <v>58</v>
      </c>
      <c r="B33" s="81" t="s">
        <v>235</v>
      </c>
      <c r="C33" s="82" t="s">
        <v>236</v>
      </c>
      <c r="D33" s="81" t="s">
        <v>95</v>
      </c>
      <c r="E33" s="81" t="s">
        <v>98</v>
      </c>
      <c r="F33" s="83">
        <f>'MEMÓRIA DE CÁLCULO '!J146</f>
        <v>95.14</v>
      </c>
      <c r="G33" s="84">
        <v>12.15</v>
      </c>
      <c r="H33" s="85">
        <f t="shared" si="6"/>
        <v>15.38</v>
      </c>
      <c r="I33" s="85">
        <f t="shared" si="7"/>
        <v>1155.95</v>
      </c>
      <c r="J33" s="87">
        <f t="shared" si="8"/>
        <v>1463.25</v>
      </c>
    </row>
    <row r="34" spans="1:10" ht="31.5" x14ac:dyDescent="0.25">
      <c r="A34" s="86" t="s">
        <v>59</v>
      </c>
      <c r="B34" s="81" t="s">
        <v>107</v>
      </c>
      <c r="C34" s="82" t="s">
        <v>51</v>
      </c>
      <c r="D34" s="81" t="s">
        <v>95</v>
      </c>
      <c r="E34" s="81" t="s">
        <v>96</v>
      </c>
      <c r="F34" s="83">
        <f>'MEMÓRIA DE CÁLCULO '!J154</f>
        <v>55.17</v>
      </c>
      <c r="G34" s="84">
        <v>69.3</v>
      </c>
      <c r="H34" s="85">
        <f t="shared" si="6"/>
        <v>87.74</v>
      </c>
      <c r="I34" s="85">
        <f t="shared" si="7"/>
        <v>3823.28</v>
      </c>
      <c r="J34" s="87">
        <f t="shared" si="8"/>
        <v>4840.62</v>
      </c>
    </row>
    <row r="35" spans="1:10" ht="31.5" x14ac:dyDescent="0.25">
      <c r="A35" s="86" t="s">
        <v>60</v>
      </c>
      <c r="B35" s="81" t="s">
        <v>178</v>
      </c>
      <c r="C35" s="82" t="s">
        <v>168</v>
      </c>
      <c r="D35" s="81" t="s">
        <v>627</v>
      </c>
      <c r="E35" s="81" t="s">
        <v>97</v>
      </c>
      <c r="F35" s="83">
        <f>'MEMÓRIA DE CÁLCULO '!J160</f>
        <v>0.51</v>
      </c>
      <c r="G35" s="84">
        <v>384.22</v>
      </c>
      <c r="H35" s="85">
        <f t="shared" si="6"/>
        <v>486.46</v>
      </c>
      <c r="I35" s="85">
        <f t="shared" si="7"/>
        <v>195.95</v>
      </c>
      <c r="J35" s="87">
        <f t="shared" si="8"/>
        <v>248.09</v>
      </c>
    </row>
    <row r="36" spans="1:10" x14ac:dyDescent="0.25">
      <c r="A36" s="18" t="s">
        <v>62</v>
      </c>
      <c r="B36" s="97" t="s">
        <v>36</v>
      </c>
      <c r="C36" s="97"/>
      <c r="D36" s="97"/>
      <c r="E36" s="97"/>
      <c r="F36" s="97"/>
      <c r="G36" s="97"/>
      <c r="H36" s="97"/>
      <c r="I36" s="17">
        <f>ROUND(SUM(I37:I44),2)</f>
        <v>22137.48</v>
      </c>
      <c r="J36" s="69">
        <f>ROUND(SUM(J37:J44),2)</f>
        <v>28023.25</v>
      </c>
    </row>
    <row r="37" spans="1:10" x14ac:dyDescent="0.25">
      <c r="A37" s="86" t="s">
        <v>63</v>
      </c>
      <c r="B37" s="81" t="s">
        <v>109</v>
      </c>
      <c r="C37" s="82" t="s">
        <v>110</v>
      </c>
      <c r="D37" s="81" t="s">
        <v>627</v>
      </c>
      <c r="E37" s="81" t="s">
        <v>97</v>
      </c>
      <c r="F37" s="83">
        <f>'MEMÓRIA DE CÁLCULO '!J168</f>
        <v>451.7</v>
      </c>
      <c r="G37" s="84">
        <v>3.51</v>
      </c>
      <c r="H37" s="85">
        <f>ROUND(SUM(G37*(1+$J$7)),2)</f>
        <v>4.4400000000000004</v>
      </c>
      <c r="I37" s="85">
        <f>ROUND(SUM(F37*G37),2)</f>
        <v>1585.47</v>
      </c>
      <c r="J37" s="87">
        <f>ROUND(SUM(F37*H37),2)</f>
        <v>2005.55</v>
      </c>
    </row>
    <row r="38" spans="1:10" x14ac:dyDescent="0.25">
      <c r="A38" s="86" t="s">
        <v>64</v>
      </c>
      <c r="B38" s="81" t="s">
        <v>111</v>
      </c>
      <c r="C38" s="82" t="s">
        <v>79</v>
      </c>
      <c r="D38" s="81" t="s">
        <v>95</v>
      </c>
      <c r="E38" s="81" t="s">
        <v>96</v>
      </c>
      <c r="F38" s="83">
        <f>'MEMÓRIA DE CÁLCULO '!J187</f>
        <v>602.57000000000005</v>
      </c>
      <c r="G38" s="84">
        <v>4.79</v>
      </c>
      <c r="H38" s="85">
        <f t="shared" ref="H38:H42" si="9">ROUND(SUM(G38*(1+$J$7)),2)</f>
        <v>6.06</v>
      </c>
      <c r="I38" s="85">
        <f t="shared" ref="I38:I42" si="10">ROUND(SUM(F38*G38),2)</f>
        <v>2886.31</v>
      </c>
      <c r="J38" s="87">
        <f t="shared" ref="J38:J42" si="11">ROUND(SUM(F38*H38),2)</f>
        <v>3651.57</v>
      </c>
    </row>
    <row r="39" spans="1:10" ht="31.5" x14ac:dyDescent="0.25">
      <c r="A39" s="86" t="s">
        <v>65</v>
      </c>
      <c r="B39" s="81" t="s">
        <v>238</v>
      </c>
      <c r="C39" s="82" t="s">
        <v>239</v>
      </c>
      <c r="D39" s="81" t="s">
        <v>95</v>
      </c>
      <c r="E39" s="81" t="s">
        <v>96</v>
      </c>
      <c r="F39" s="83">
        <f>'MEMÓRIA DE CÁLCULO '!J192</f>
        <v>264.49</v>
      </c>
      <c r="G39" s="84">
        <v>13.16</v>
      </c>
      <c r="H39" s="85">
        <f t="shared" si="9"/>
        <v>16.66</v>
      </c>
      <c r="I39" s="85">
        <f t="shared" si="10"/>
        <v>3480.69</v>
      </c>
      <c r="J39" s="87">
        <f t="shared" si="11"/>
        <v>4406.3999999999996</v>
      </c>
    </row>
    <row r="40" spans="1:10" ht="31.5" x14ac:dyDescent="0.25">
      <c r="A40" s="86" t="s">
        <v>66</v>
      </c>
      <c r="B40" s="81" t="s">
        <v>240</v>
      </c>
      <c r="C40" s="82" t="s">
        <v>241</v>
      </c>
      <c r="D40" s="81" t="s">
        <v>95</v>
      </c>
      <c r="E40" s="81" t="s">
        <v>96</v>
      </c>
      <c r="F40" s="83">
        <f>'MEMÓRIA DE CÁLCULO '!J211</f>
        <v>602.57000000000005</v>
      </c>
      <c r="G40" s="84">
        <v>10.41</v>
      </c>
      <c r="H40" s="85">
        <f t="shared" si="9"/>
        <v>13.18</v>
      </c>
      <c r="I40" s="85">
        <f t="shared" si="10"/>
        <v>6272.75</v>
      </c>
      <c r="J40" s="87">
        <f t="shared" si="11"/>
        <v>7941.87</v>
      </c>
    </row>
    <row r="41" spans="1:10" ht="31.5" x14ac:dyDescent="0.25">
      <c r="A41" s="86" t="s">
        <v>67</v>
      </c>
      <c r="B41" s="81" t="s">
        <v>242</v>
      </c>
      <c r="C41" s="82" t="s">
        <v>243</v>
      </c>
      <c r="D41" s="81" t="s">
        <v>627</v>
      </c>
      <c r="E41" s="81" t="s">
        <v>97</v>
      </c>
      <c r="F41" s="83">
        <f>'MEMÓRIA DE CÁLCULO '!J223</f>
        <v>103.76</v>
      </c>
      <c r="G41" s="84">
        <v>18.8</v>
      </c>
      <c r="H41" s="85">
        <f t="shared" si="9"/>
        <v>23.8</v>
      </c>
      <c r="I41" s="85">
        <f t="shared" si="10"/>
        <v>1950.69</v>
      </c>
      <c r="J41" s="87">
        <f t="shared" si="11"/>
        <v>2469.4899999999998</v>
      </c>
    </row>
    <row r="42" spans="1:10" ht="31.5" x14ac:dyDescent="0.25">
      <c r="A42" s="86" t="s">
        <v>244</v>
      </c>
      <c r="B42" s="81" t="s">
        <v>245</v>
      </c>
      <c r="C42" s="82" t="s">
        <v>246</v>
      </c>
      <c r="D42" s="81" t="s">
        <v>627</v>
      </c>
      <c r="E42" s="81" t="s">
        <v>97</v>
      </c>
      <c r="F42" s="83">
        <f>'MEMÓRIA DE CÁLCULO '!J241</f>
        <v>154.06</v>
      </c>
      <c r="G42" s="84">
        <v>21.3</v>
      </c>
      <c r="H42" s="85">
        <f t="shared" si="9"/>
        <v>26.97</v>
      </c>
      <c r="I42" s="85">
        <f t="shared" si="10"/>
        <v>3281.48</v>
      </c>
      <c r="J42" s="87">
        <f t="shared" si="11"/>
        <v>4155</v>
      </c>
    </row>
    <row r="43" spans="1:10" ht="31.5" x14ac:dyDescent="0.25">
      <c r="A43" s="86"/>
      <c r="B43" s="81">
        <v>102220</v>
      </c>
      <c r="C43" s="82" t="s">
        <v>38</v>
      </c>
      <c r="D43" s="81" t="s">
        <v>95</v>
      </c>
      <c r="E43" s="81" t="s">
        <v>97</v>
      </c>
      <c r="F43" s="83">
        <f>'MEMÓRIA DE CÁLCULO '!J248</f>
        <v>34.020000000000003</v>
      </c>
      <c r="G43" s="84">
        <v>19.29</v>
      </c>
      <c r="H43" s="85">
        <f t="shared" ref="H43:H44" si="12">ROUND(SUM(G43*(1+$J$7)),2)</f>
        <v>24.42</v>
      </c>
      <c r="I43" s="85">
        <f t="shared" ref="I43:I44" si="13">ROUND(SUM(F43*G43),2)</f>
        <v>656.25</v>
      </c>
      <c r="J43" s="87">
        <f t="shared" ref="J43:J44" si="14">ROUND(SUM(F43*H43),2)</f>
        <v>830.77</v>
      </c>
    </row>
    <row r="44" spans="1:10" ht="31.5" x14ac:dyDescent="0.25">
      <c r="A44" s="86"/>
      <c r="B44" s="81" t="s">
        <v>634</v>
      </c>
      <c r="C44" s="82" t="s">
        <v>45</v>
      </c>
      <c r="D44" s="81" t="s">
        <v>627</v>
      </c>
      <c r="E44" s="81" t="s">
        <v>97</v>
      </c>
      <c r="F44" s="83">
        <f>'MEMÓRIA DE CÁLCULO '!J258</f>
        <v>55.6</v>
      </c>
      <c r="G44" s="84">
        <v>36.4</v>
      </c>
      <c r="H44" s="85">
        <f t="shared" si="12"/>
        <v>46.09</v>
      </c>
      <c r="I44" s="85">
        <f t="shared" si="13"/>
        <v>2023.84</v>
      </c>
      <c r="J44" s="87">
        <f t="shared" si="14"/>
        <v>2562.6</v>
      </c>
    </row>
    <row r="45" spans="1:10" x14ac:dyDescent="0.25">
      <c r="A45" s="18" t="s">
        <v>68</v>
      </c>
      <c r="B45" s="97" t="s">
        <v>112</v>
      </c>
      <c r="C45" s="97"/>
      <c r="D45" s="97"/>
      <c r="E45" s="97"/>
      <c r="F45" s="97"/>
      <c r="G45" s="97"/>
      <c r="H45" s="97"/>
      <c r="I45" s="17">
        <f>ROUND(SUM(I46:I49),2)</f>
        <v>9273.07</v>
      </c>
      <c r="J45" s="69">
        <f>ROUND(SUM(J46:J49),2)</f>
        <v>11740.66</v>
      </c>
    </row>
    <row r="46" spans="1:10" ht="47.25" x14ac:dyDescent="0.25">
      <c r="A46" s="86" t="s">
        <v>69</v>
      </c>
      <c r="B46" s="81" t="s">
        <v>247</v>
      </c>
      <c r="C46" s="82" t="s">
        <v>248</v>
      </c>
      <c r="D46" s="81" t="s">
        <v>95</v>
      </c>
      <c r="E46" s="81" t="s">
        <v>106</v>
      </c>
      <c r="F46" s="83">
        <f>'MEMÓRIA DE CÁLCULO '!J264</f>
        <v>1</v>
      </c>
      <c r="G46" s="84">
        <v>815.66</v>
      </c>
      <c r="H46" s="85">
        <f>ROUND(SUM(G46*(1+$J$7)),2)</f>
        <v>1032.71</v>
      </c>
      <c r="I46" s="85">
        <f>ROUND(SUM(F46*G46),2)</f>
        <v>815.66</v>
      </c>
      <c r="J46" s="87">
        <f>ROUND(SUM(F46*H46),2)</f>
        <v>1032.71</v>
      </c>
    </row>
    <row r="47" spans="1:10" ht="47.25" x14ac:dyDescent="0.25">
      <c r="A47" s="86" t="s">
        <v>70</v>
      </c>
      <c r="B47" s="81" t="s">
        <v>249</v>
      </c>
      <c r="C47" s="82" t="s">
        <v>250</v>
      </c>
      <c r="D47" s="81" t="s">
        <v>95</v>
      </c>
      <c r="E47" s="81" t="s">
        <v>106</v>
      </c>
      <c r="F47" s="83">
        <f>'MEMÓRIA DE CÁLCULO '!J269</f>
        <v>7</v>
      </c>
      <c r="G47" s="84">
        <v>840.65</v>
      </c>
      <c r="H47" s="85">
        <f t="shared" ref="H47:H49" si="15">ROUND(SUM(G47*(1+$J$7)),2)</f>
        <v>1064.3499999999999</v>
      </c>
      <c r="I47" s="85">
        <f t="shared" ref="I47:I49" si="16">ROUND(SUM(F47*G47),2)</f>
        <v>5884.55</v>
      </c>
      <c r="J47" s="87">
        <f t="shared" ref="J47:J49" si="17">ROUND(SUM(F47*H47),2)</f>
        <v>7450.45</v>
      </c>
    </row>
    <row r="48" spans="1:10" ht="63" x14ac:dyDescent="0.25">
      <c r="A48" s="86" t="s">
        <v>71</v>
      </c>
      <c r="B48" s="81" t="s">
        <v>113</v>
      </c>
      <c r="C48" s="82" t="s">
        <v>251</v>
      </c>
      <c r="D48" s="81" t="s">
        <v>95</v>
      </c>
      <c r="E48" s="81" t="s">
        <v>106</v>
      </c>
      <c r="F48" s="83">
        <f>'MEMÓRIA DE CÁLCULO '!J274</f>
        <v>2</v>
      </c>
      <c r="G48" s="84">
        <v>1095.71</v>
      </c>
      <c r="H48" s="85">
        <f t="shared" si="15"/>
        <v>1387.28</v>
      </c>
      <c r="I48" s="85">
        <f t="shared" si="16"/>
        <v>2191.42</v>
      </c>
      <c r="J48" s="87">
        <f t="shared" si="17"/>
        <v>2774.56</v>
      </c>
    </row>
    <row r="49" spans="1:10" ht="31.5" x14ac:dyDescent="0.25">
      <c r="A49" s="86" t="s">
        <v>72</v>
      </c>
      <c r="B49" s="81" t="s">
        <v>114</v>
      </c>
      <c r="C49" s="82" t="s">
        <v>61</v>
      </c>
      <c r="D49" s="81" t="s">
        <v>627</v>
      </c>
      <c r="E49" s="81" t="s">
        <v>97</v>
      </c>
      <c r="F49" s="83">
        <f>'MEMÓRIA DE CÁLCULO '!J279</f>
        <v>0.6</v>
      </c>
      <c r="G49" s="84">
        <v>635.73</v>
      </c>
      <c r="H49" s="85">
        <f t="shared" si="15"/>
        <v>804.9</v>
      </c>
      <c r="I49" s="85">
        <f t="shared" si="16"/>
        <v>381.44</v>
      </c>
      <c r="J49" s="87">
        <f t="shared" si="17"/>
        <v>482.94</v>
      </c>
    </row>
    <row r="50" spans="1:10" x14ac:dyDescent="0.25">
      <c r="A50" s="18" t="s">
        <v>76</v>
      </c>
      <c r="B50" s="97" t="s">
        <v>180</v>
      </c>
      <c r="C50" s="97"/>
      <c r="D50" s="97"/>
      <c r="E50" s="97"/>
      <c r="F50" s="97"/>
      <c r="G50" s="97"/>
      <c r="H50" s="97"/>
      <c r="I50" s="17">
        <f>ROUND(SUM(I51:I57),2)</f>
        <v>5691.2</v>
      </c>
      <c r="J50" s="69">
        <f>ROUND(SUM(J51:J57),2)</f>
        <v>7205.62</v>
      </c>
    </row>
    <row r="51" spans="1:10" ht="63" x14ac:dyDescent="0.25">
      <c r="A51" s="86" t="s">
        <v>77</v>
      </c>
      <c r="B51" s="81" t="s">
        <v>182</v>
      </c>
      <c r="C51" s="82" t="s">
        <v>169</v>
      </c>
      <c r="D51" s="81" t="s">
        <v>627</v>
      </c>
      <c r="E51" s="81" t="s">
        <v>94</v>
      </c>
      <c r="F51" s="83">
        <f>'MEMÓRIA DE CÁLCULO '!J285</f>
        <v>2</v>
      </c>
      <c r="G51" s="84">
        <v>1073.05</v>
      </c>
      <c r="H51" s="85">
        <f>ROUND(SUM(G51*(1+$J$7)),2)</f>
        <v>1358.59</v>
      </c>
      <c r="I51" s="85">
        <f>ROUND(SUM(F51*G51),2)</f>
        <v>2146.1</v>
      </c>
      <c r="J51" s="87">
        <f>ROUND(SUM(F51*H51),2)</f>
        <v>2717.18</v>
      </c>
    </row>
    <row r="52" spans="1:10" ht="31.5" x14ac:dyDescent="0.25">
      <c r="A52" s="86" t="s">
        <v>118</v>
      </c>
      <c r="B52" s="81" t="s">
        <v>252</v>
      </c>
      <c r="C52" s="82" t="s">
        <v>253</v>
      </c>
      <c r="D52" s="81" t="s">
        <v>95</v>
      </c>
      <c r="E52" s="81" t="s">
        <v>106</v>
      </c>
      <c r="F52" s="83">
        <f>'MEMÓRIA DE CÁLCULO '!J290</f>
        <v>1</v>
      </c>
      <c r="G52" s="84">
        <v>215.59</v>
      </c>
      <c r="H52" s="85">
        <f t="shared" ref="H52:H56" si="18">ROUND(SUM(G52*(1+$J$7)),2)</f>
        <v>272.95999999999998</v>
      </c>
      <c r="I52" s="85">
        <f t="shared" ref="I52:I56" si="19">ROUND(SUM(F52*G52),2)</f>
        <v>215.59</v>
      </c>
      <c r="J52" s="87">
        <f t="shared" ref="J52:J56" si="20">ROUND(SUM(F52*H52),2)</f>
        <v>272.95999999999998</v>
      </c>
    </row>
    <row r="53" spans="1:10" ht="31.5" x14ac:dyDescent="0.25">
      <c r="A53" s="86" t="s">
        <v>119</v>
      </c>
      <c r="B53" s="81" t="s">
        <v>185</v>
      </c>
      <c r="C53" s="82" t="s">
        <v>170</v>
      </c>
      <c r="D53" s="81" t="s">
        <v>95</v>
      </c>
      <c r="E53" s="81" t="s">
        <v>106</v>
      </c>
      <c r="F53" s="83">
        <f>'MEMÓRIA DE CÁLCULO '!J295</f>
        <v>2</v>
      </c>
      <c r="G53" s="84">
        <v>175.92</v>
      </c>
      <c r="H53" s="85">
        <f t="shared" si="18"/>
        <v>222.73</v>
      </c>
      <c r="I53" s="85">
        <f t="shared" si="19"/>
        <v>351.84</v>
      </c>
      <c r="J53" s="87">
        <f t="shared" si="20"/>
        <v>445.46</v>
      </c>
    </row>
    <row r="54" spans="1:10" ht="47.25" x14ac:dyDescent="0.25">
      <c r="A54" s="86" t="s">
        <v>120</v>
      </c>
      <c r="B54" s="81" t="s">
        <v>116</v>
      </c>
      <c r="C54" s="82" t="s">
        <v>74</v>
      </c>
      <c r="D54" s="81" t="s">
        <v>627</v>
      </c>
      <c r="E54" s="81" t="s">
        <v>94</v>
      </c>
      <c r="F54" s="83">
        <f>'MEMÓRIA DE CÁLCULO '!J300</f>
        <v>4</v>
      </c>
      <c r="G54" s="84">
        <v>155.11000000000001</v>
      </c>
      <c r="H54" s="85">
        <f t="shared" si="18"/>
        <v>196.38</v>
      </c>
      <c r="I54" s="85">
        <f t="shared" si="19"/>
        <v>620.44000000000005</v>
      </c>
      <c r="J54" s="87">
        <f t="shared" si="20"/>
        <v>785.52</v>
      </c>
    </row>
    <row r="55" spans="1:10" ht="47.25" x14ac:dyDescent="0.25">
      <c r="A55" s="86" t="s">
        <v>121</v>
      </c>
      <c r="B55" s="81" t="s">
        <v>117</v>
      </c>
      <c r="C55" s="82" t="s">
        <v>75</v>
      </c>
      <c r="D55" s="81" t="s">
        <v>627</v>
      </c>
      <c r="E55" s="81" t="s">
        <v>94</v>
      </c>
      <c r="F55" s="83">
        <f>'MEMÓRIA DE CÁLCULO '!J305</f>
        <v>2</v>
      </c>
      <c r="G55" s="84">
        <v>141.33000000000001</v>
      </c>
      <c r="H55" s="85">
        <f t="shared" si="18"/>
        <v>178.94</v>
      </c>
      <c r="I55" s="85">
        <f t="shared" si="19"/>
        <v>282.66000000000003</v>
      </c>
      <c r="J55" s="87">
        <f t="shared" si="20"/>
        <v>357.88</v>
      </c>
    </row>
    <row r="56" spans="1:10" ht="63" x14ac:dyDescent="0.25">
      <c r="A56" s="86" t="s">
        <v>122</v>
      </c>
      <c r="B56" s="81" t="s">
        <v>115</v>
      </c>
      <c r="C56" s="82" t="s">
        <v>73</v>
      </c>
      <c r="D56" s="81" t="s">
        <v>627</v>
      </c>
      <c r="E56" s="81" t="s">
        <v>97</v>
      </c>
      <c r="F56" s="83">
        <v>3.13</v>
      </c>
      <c r="G56" s="84">
        <v>476.5</v>
      </c>
      <c r="H56" s="85">
        <f t="shared" si="18"/>
        <v>603.29999999999995</v>
      </c>
      <c r="I56" s="85">
        <f t="shared" si="19"/>
        <v>1491.45</v>
      </c>
      <c r="J56" s="87">
        <f t="shared" si="20"/>
        <v>1888.33</v>
      </c>
    </row>
    <row r="57" spans="1:10" ht="31.5" x14ac:dyDescent="0.25">
      <c r="A57" s="86" t="s">
        <v>424</v>
      </c>
      <c r="B57" s="81" t="s">
        <v>425</v>
      </c>
      <c r="C57" s="82" t="s">
        <v>426</v>
      </c>
      <c r="D57" s="81" t="s">
        <v>95</v>
      </c>
      <c r="E57" s="81" t="s">
        <v>106</v>
      </c>
      <c r="F57" s="83">
        <v>1</v>
      </c>
      <c r="G57" s="84">
        <v>583.12</v>
      </c>
      <c r="H57" s="85">
        <f t="shared" ref="H57" si="21">ROUND(SUM(G57*(1+$J$7)),2)</f>
        <v>738.29</v>
      </c>
      <c r="I57" s="85">
        <f t="shared" ref="I57" si="22">ROUND(SUM(F57*G57),2)</f>
        <v>583.12</v>
      </c>
      <c r="J57" s="87">
        <f t="shared" ref="J57" si="23">ROUND(SUM(F57*H57),2)</f>
        <v>738.29</v>
      </c>
    </row>
    <row r="58" spans="1:10" x14ac:dyDescent="0.25">
      <c r="A58" s="18" t="s">
        <v>80</v>
      </c>
      <c r="B58" s="97" t="s">
        <v>258</v>
      </c>
      <c r="C58" s="97"/>
      <c r="D58" s="97"/>
      <c r="E58" s="97"/>
      <c r="F58" s="97"/>
      <c r="G58" s="97"/>
      <c r="H58" s="97"/>
      <c r="I58" s="17">
        <f>ROUND(SUM(I59:I71),2)</f>
        <v>4885.07</v>
      </c>
      <c r="J58" s="69">
        <f>ROUND(SUM(J59:J71),2)</f>
        <v>6184.77</v>
      </c>
    </row>
    <row r="59" spans="1:10" x14ac:dyDescent="0.25">
      <c r="A59" s="86" t="s">
        <v>456</v>
      </c>
      <c r="B59" s="81" t="s">
        <v>322</v>
      </c>
      <c r="C59" s="82" t="s">
        <v>323</v>
      </c>
      <c r="D59" s="81" t="s">
        <v>265</v>
      </c>
      <c r="E59" s="81" t="s">
        <v>94</v>
      </c>
      <c r="F59" s="83">
        <v>7</v>
      </c>
      <c r="G59" s="84">
        <v>58.53</v>
      </c>
      <c r="H59" s="85">
        <f>ROUND(SUM(G59*(1+$J$7)),2)</f>
        <v>74.099999999999994</v>
      </c>
      <c r="I59" s="85">
        <f>ROUND(SUM(F59*G59),2)</f>
        <v>409.71</v>
      </c>
      <c r="J59" s="87">
        <f>ROUND(SUM(F59*H59),2)</f>
        <v>518.70000000000005</v>
      </c>
    </row>
    <row r="60" spans="1:10" ht="31.5" x14ac:dyDescent="0.25">
      <c r="A60" s="86" t="s">
        <v>457</v>
      </c>
      <c r="B60" s="81" t="s">
        <v>324</v>
      </c>
      <c r="C60" s="82" t="s">
        <v>325</v>
      </c>
      <c r="D60" s="81" t="s">
        <v>95</v>
      </c>
      <c r="E60" s="81" t="s">
        <v>106</v>
      </c>
      <c r="F60" s="83">
        <v>13</v>
      </c>
      <c r="G60" s="84">
        <v>8.5500000000000007</v>
      </c>
      <c r="H60" s="85">
        <f t="shared" ref="H60:H71" si="24">ROUND(SUM(G60*(1+$J$7)),2)</f>
        <v>10.83</v>
      </c>
      <c r="I60" s="85">
        <f t="shared" ref="I60:I71" si="25">ROUND(SUM(F60*G60),2)</f>
        <v>111.15</v>
      </c>
      <c r="J60" s="87">
        <f t="shared" ref="J60:J71" si="26">ROUND(SUM(F60*H60),2)</f>
        <v>140.79</v>
      </c>
    </row>
    <row r="61" spans="1:10" ht="31.5" x14ac:dyDescent="0.25">
      <c r="A61" s="86" t="s">
        <v>458</v>
      </c>
      <c r="B61" s="81" t="s">
        <v>326</v>
      </c>
      <c r="C61" s="82" t="s">
        <v>327</v>
      </c>
      <c r="D61" s="81" t="s">
        <v>95</v>
      </c>
      <c r="E61" s="81" t="s">
        <v>98</v>
      </c>
      <c r="F61" s="83">
        <v>60.86</v>
      </c>
      <c r="G61" s="84">
        <v>19.37</v>
      </c>
      <c r="H61" s="85">
        <f t="shared" si="24"/>
        <v>24.52</v>
      </c>
      <c r="I61" s="85">
        <f t="shared" si="25"/>
        <v>1178.8599999999999</v>
      </c>
      <c r="J61" s="87">
        <f t="shared" si="26"/>
        <v>1492.29</v>
      </c>
    </row>
    <row r="62" spans="1:10" x14ac:dyDescent="0.25">
      <c r="A62" s="86" t="s">
        <v>459</v>
      </c>
      <c r="B62" s="81" t="s">
        <v>328</v>
      </c>
      <c r="C62" s="82" t="s">
        <v>329</v>
      </c>
      <c r="D62" s="81" t="s">
        <v>265</v>
      </c>
      <c r="E62" s="81" t="s">
        <v>98</v>
      </c>
      <c r="F62" s="83">
        <v>18.329999999999998</v>
      </c>
      <c r="G62" s="84">
        <v>17.64</v>
      </c>
      <c r="H62" s="85">
        <f t="shared" si="24"/>
        <v>22.33</v>
      </c>
      <c r="I62" s="85">
        <f t="shared" si="25"/>
        <v>323.33999999999997</v>
      </c>
      <c r="J62" s="87">
        <f t="shared" si="26"/>
        <v>409.31</v>
      </c>
    </row>
    <row r="63" spans="1:10" x14ac:dyDescent="0.25">
      <c r="A63" s="86" t="s">
        <v>460</v>
      </c>
      <c r="B63" s="81" t="s">
        <v>330</v>
      </c>
      <c r="C63" s="82" t="s">
        <v>331</v>
      </c>
      <c r="D63" s="81" t="s">
        <v>265</v>
      </c>
      <c r="E63" s="81" t="s">
        <v>272</v>
      </c>
      <c r="F63" s="83">
        <v>15.85</v>
      </c>
      <c r="G63" s="84">
        <v>6.65</v>
      </c>
      <c r="H63" s="85">
        <f t="shared" si="24"/>
        <v>8.42</v>
      </c>
      <c r="I63" s="85">
        <f t="shared" si="25"/>
        <v>105.4</v>
      </c>
      <c r="J63" s="87">
        <f t="shared" si="26"/>
        <v>133.46</v>
      </c>
    </row>
    <row r="64" spans="1:10" x14ac:dyDescent="0.25">
      <c r="A64" s="86" t="s">
        <v>461</v>
      </c>
      <c r="B64" s="81" t="s">
        <v>332</v>
      </c>
      <c r="C64" s="82" t="s">
        <v>333</v>
      </c>
      <c r="D64" s="81" t="s">
        <v>265</v>
      </c>
      <c r="E64" s="81" t="s">
        <v>272</v>
      </c>
      <c r="F64" s="83">
        <v>3.79</v>
      </c>
      <c r="G64" s="84">
        <v>7.1</v>
      </c>
      <c r="H64" s="85">
        <f t="shared" si="24"/>
        <v>8.99</v>
      </c>
      <c r="I64" s="85">
        <f t="shared" si="25"/>
        <v>26.91</v>
      </c>
      <c r="J64" s="87">
        <f t="shared" si="26"/>
        <v>34.07</v>
      </c>
    </row>
    <row r="65" spans="1:10" x14ac:dyDescent="0.25">
      <c r="A65" s="86" t="s">
        <v>462</v>
      </c>
      <c r="B65" s="81" t="s">
        <v>334</v>
      </c>
      <c r="C65" s="82" t="s">
        <v>335</v>
      </c>
      <c r="D65" s="81" t="s">
        <v>265</v>
      </c>
      <c r="E65" s="81" t="s">
        <v>272</v>
      </c>
      <c r="F65" s="83">
        <v>5.19</v>
      </c>
      <c r="G65" s="84">
        <v>7.07</v>
      </c>
      <c r="H65" s="85">
        <f t="shared" si="24"/>
        <v>8.9499999999999993</v>
      </c>
      <c r="I65" s="85">
        <f t="shared" si="25"/>
        <v>36.69</v>
      </c>
      <c r="J65" s="87">
        <f t="shared" si="26"/>
        <v>46.45</v>
      </c>
    </row>
    <row r="66" spans="1:10" ht="31.5" x14ac:dyDescent="0.25">
      <c r="A66" s="86" t="s">
        <v>463</v>
      </c>
      <c r="B66" s="81" t="s">
        <v>336</v>
      </c>
      <c r="C66" s="82" t="s">
        <v>337</v>
      </c>
      <c r="D66" s="81" t="s">
        <v>95</v>
      </c>
      <c r="E66" s="81" t="s">
        <v>98</v>
      </c>
      <c r="F66" s="83">
        <v>15.85</v>
      </c>
      <c r="G66" s="84">
        <v>41.33</v>
      </c>
      <c r="H66" s="85">
        <f t="shared" si="24"/>
        <v>52.33</v>
      </c>
      <c r="I66" s="85">
        <f t="shared" si="25"/>
        <v>655.08000000000004</v>
      </c>
      <c r="J66" s="87">
        <f t="shared" si="26"/>
        <v>829.43</v>
      </c>
    </row>
    <row r="67" spans="1:10" ht="31.5" x14ac:dyDescent="0.25">
      <c r="A67" s="86" t="s">
        <v>464</v>
      </c>
      <c r="B67" s="81" t="s">
        <v>338</v>
      </c>
      <c r="C67" s="82" t="s">
        <v>339</v>
      </c>
      <c r="D67" s="81" t="s">
        <v>95</v>
      </c>
      <c r="E67" s="81" t="s">
        <v>98</v>
      </c>
      <c r="F67" s="83">
        <v>3.79</v>
      </c>
      <c r="G67" s="84">
        <v>66.819999999999993</v>
      </c>
      <c r="H67" s="85">
        <f t="shared" si="24"/>
        <v>84.6</v>
      </c>
      <c r="I67" s="85">
        <f t="shared" si="25"/>
        <v>253.25</v>
      </c>
      <c r="J67" s="87">
        <f t="shared" si="26"/>
        <v>320.63</v>
      </c>
    </row>
    <row r="68" spans="1:10" ht="31.5" x14ac:dyDescent="0.25">
      <c r="A68" s="86" t="s">
        <v>465</v>
      </c>
      <c r="B68" s="81" t="s">
        <v>340</v>
      </c>
      <c r="C68" s="82" t="s">
        <v>341</v>
      </c>
      <c r="D68" s="81" t="s">
        <v>95</v>
      </c>
      <c r="E68" s="81" t="s">
        <v>98</v>
      </c>
      <c r="F68" s="83">
        <v>5.19</v>
      </c>
      <c r="G68" s="84">
        <v>107.61</v>
      </c>
      <c r="H68" s="85">
        <f t="shared" si="24"/>
        <v>136.25</v>
      </c>
      <c r="I68" s="85">
        <f t="shared" si="25"/>
        <v>558.5</v>
      </c>
      <c r="J68" s="87">
        <f t="shared" si="26"/>
        <v>707.14</v>
      </c>
    </row>
    <row r="69" spans="1:10" ht="31.5" x14ac:dyDescent="0.25">
      <c r="A69" s="86" t="s">
        <v>466</v>
      </c>
      <c r="B69" s="81" t="s">
        <v>427</v>
      </c>
      <c r="C69" s="82" t="s">
        <v>428</v>
      </c>
      <c r="D69" s="81" t="s">
        <v>95</v>
      </c>
      <c r="E69" s="81" t="s">
        <v>106</v>
      </c>
      <c r="F69" s="83">
        <v>5</v>
      </c>
      <c r="G69" s="84">
        <v>11.5</v>
      </c>
      <c r="H69" s="85">
        <f t="shared" si="24"/>
        <v>14.56</v>
      </c>
      <c r="I69" s="85">
        <f t="shared" si="25"/>
        <v>57.5</v>
      </c>
      <c r="J69" s="87">
        <f t="shared" si="26"/>
        <v>72.8</v>
      </c>
    </row>
    <row r="70" spans="1:10" x14ac:dyDescent="0.25">
      <c r="A70" s="86" t="s">
        <v>467</v>
      </c>
      <c r="B70" s="81" t="s">
        <v>429</v>
      </c>
      <c r="C70" s="82" t="s">
        <v>430</v>
      </c>
      <c r="D70" s="81" t="s">
        <v>265</v>
      </c>
      <c r="E70" s="81" t="s">
        <v>272</v>
      </c>
      <c r="F70" s="83">
        <v>11.83</v>
      </c>
      <c r="G70" s="84">
        <v>7.16</v>
      </c>
      <c r="H70" s="85">
        <f t="shared" si="24"/>
        <v>9.07</v>
      </c>
      <c r="I70" s="85">
        <f t="shared" si="25"/>
        <v>84.7</v>
      </c>
      <c r="J70" s="87">
        <f t="shared" si="26"/>
        <v>107.3</v>
      </c>
    </row>
    <row r="71" spans="1:10" ht="31.5" x14ac:dyDescent="0.25">
      <c r="A71" s="86" t="s">
        <v>468</v>
      </c>
      <c r="B71" s="81" t="s">
        <v>431</v>
      </c>
      <c r="C71" s="82" t="s">
        <v>432</v>
      </c>
      <c r="D71" s="81" t="s">
        <v>95</v>
      </c>
      <c r="E71" s="81" t="s">
        <v>98</v>
      </c>
      <c r="F71" s="83">
        <v>11.83</v>
      </c>
      <c r="G71" s="84">
        <v>91.63</v>
      </c>
      <c r="H71" s="85">
        <f t="shared" si="24"/>
        <v>116.01</v>
      </c>
      <c r="I71" s="85">
        <f t="shared" si="25"/>
        <v>1083.98</v>
      </c>
      <c r="J71" s="87">
        <f t="shared" si="26"/>
        <v>1372.4</v>
      </c>
    </row>
    <row r="72" spans="1:10" x14ac:dyDescent="0.25">
      <c r="A72" s="18" t="s">
        <v>179</v>
      </c>
      <c r="B72" s="97" t="s">
        <v>254</v>
      </c>
      <c r="C72" s="97"/>
      <c r="D72" s="97"/>
      <c r="E72" s="97"/>
      <c r="F72" s="97"/>
      <c r="G72" s="97"/>
      <c r="H72" s="97"/>
      <c r="I72" s="17">
        <f>ROUND(SUM(I73:I85),2)</f>
        <v>8494.92</v>
      </c>
      <c r="J72" s="69">
        <f>ROUND(SUM(J73:J85),2)</f>
        <v>10754.25</v>
      </c>
    </row>
    <row r="73" spans="1:10" ht="31.5" x14ac:dyDescent="0.25">
      <c r="A73" s="86" t="s">
        <v>181</v>
      </c>
      <c r="B73" s="81" t="s">
        <v>433</v>
      </c>
      <c r="C73" s="82" t="s">
        <v>434</v>
      </c>
      <c r="D73" s="81" t="s">
        <v>627</v>
      </c>
      <c r="E73" s="81" t="s">
        <v>94</v>
      </c>
      <c r="F73" s="83">
        <v>30</v>
      </c>
      <c r="G73" s="84">
        <v>2.54</v>
      </c>
      <c r="H73" s="85">
        <f>ROUND(SUM(G73*(1+$J$7)),2)</f>
        <v>3.22</v>
      </c>
      <c r="I73" s="85">
        <f>ROUND(SUM(F73*G73),2)</f>
        <v>76.2</v>
      </c>
      <c r="J73" s="87">
        <f>ROUND(SUM(F73*H73),2)</f>
        <v>96.6</v>
      </c>
    </row>
    <row r="74" spans="1:10" x14ac:dyDescent="0.25">
      <c r="A74" s="86" t="s">
        <v>264</v>
      </c>
      <c r="B74" s="81" t="s">
        <v>435</v>
      </c>
      <c r="C74" s="82" t="s">
        <v>436</v>
      </c>
      <c r="D74" s="81" t="s">
        <v>95</v>
      </c>
      <c r="E74" s="81" t="s">
        <v>106</v>
      </c>
      <c r="F74" s="83">
        <v>1</v>
      </c>
      <c r="G74" s="84">
        <v>641.94000000000005</v>
      </c>
      <c r="H74" s="85">
        <f t="shared" ref="H74:H85" si="27">ROUND(SUM(G74*(1+$J$7)),2)</f>
        <v>812.76</v>
      </c>
      <c r="I74" s="85">
        <f t="shared" ref="I74:I85" si="28">ROUND(SUM(F74*G74),2)</f>
        <v>641.94000000000005</v>
      </c>
      <c r="J74" s="87">
        <f t="shared" ref="J74:J85" si="29">ROUND(SUM(F74*H74),2)</f>
        <v>812.76</v>
      </c>
    </row>
    <row r="75" spans="1:10" ht="31.5" x14ac:dyDescent="0.25">
      <c r="A75" s="86" t="s">
        <v>183</v>
      </c>
      <c r="B75" s="81" t="s">
        <v>433</v>
      </c>
      <c r="C75" s="82" t="s">
        <v>434</v>
      </c>
      <c r="D75" s="81" t="s">
        <v>627</v>
      </c>
      <c r="E75" s="81" t="s">
        <v>94</v>
      </c>
      <c r="F75" s="83">
        <v>96</v>
      </c>
      <c r="G75" s="84">
        <v>2.54</v>
      </c>
      <c r="H75" s="85">
        <f t="shared" si="27"/>
        <v>3.22</v>
      </c>
      <c r="I75" s="85">
        <f t="shared" si="28"/>
        <v>243.84</v>
      </c>
      <c r="J75" s="87">
        <f t="shared" si="29"/>
        <v>309.12</v>
      </c>
    </row>
    <row r="76" spans="1:10" x14ac:dyDescent="0.25">
      <c r="A76" s="86" t="s">
        <v>184</v>
      </c>
      <c r="B76" s="81" t="s">
        <v>437</v>
      </c>
      <c r="C76" s="82" t="s">
        <v>438</v>
      </c>
      <c r="D76" s="81" t="s">
        <v>265</v>
      </c>
      <c r="E76" s="81" t="s">
        <v>439</v>
      </c>
      <c r="F76" s="83">
        <v>1</v>
      </c>
      <c r="G76" s="84">
        <v>520</v>
      </c>
      <c r="H76" s="85">
        <f t="shared" si="27"/>
        <v>658.37</v>
      </c>
      <c r="I76" s="85">
        <f t="shared" si="28"/>
        <v>520</v>
      </c>
      <c r="J76" s="87">
        <f t="shared" si="29"/>
        <v>658.37</v>
      </c>
    </row>
    <row r="77" spans="1:10" x14ac:dyDescent="0.25">
      <c r="A77" s="86" t="s">
        <v>266</v>
      </c>
      <c r="B77" s="81" t="s">
        <v>440</v>
      </c>
      <c r="C77" s="82" t="s">
        <v>441</v>
      </c>
      <c r="D77" s="81" t="s">
        <v>267</v>
      </c>
      <c r="E77" s="81" t="s">
        <v>106</v>
      </c>
      <c r="F77" s="83">
        <v>4</v>
      </c>
      <c r="G77" s="84">
        <v>91.34</v>
      </c>
      <c r="H77" s="85">
        <f t="shared" si="27"/>
        <v>115.65</v>
      </c>
      <c r="I77" s="85">
        <f t="shared" si="28"/>
        <v>365.36</v>
      </c>
      <c r="J77" s="87">
        <f t="shared" si="29"/>
        <v>462.6</v>
      </c>
    </row>
    <row r="78" spans="1:10" x14ac:dyDescent="0.25">
      <c r="A78" s="86" t="s">
        <v>186</v>
      </c>
      <c r="B78" s="81" t="s">
        <v>442</v>
      </c>
      <c r="C78" s="82" t="s">
        <v>443</v>
      </c>
      <c r="D78" s="81" t="s">
        <v>265</v>
      </c>
      <c r="E78" s="81" t="s">
        <v>94</v>
      </c>
      <c r="F78" s="83">
        <v>2</v>
      </c>
      <c r="G78" s="84">
        <v>18.600000000000001</v>
      </c>
      <c r="H78" s="85">
        <f t="shared" si="27"/>
        <v>23.55</v>
      </c>
      <c r="I78" s="85">
        <f t="shared" si="28"/>
        <v>37.200000000000003</v>
      </c>
      <c r="J78" s="87">
        <f t="shared" si="29"/>
        <v>47.1</v>
      </c>
    </row>
    <row r="79" spans="1:10" ht="31.5" x14ac:dyDescent="0.25">
      <c r="A79" s="86" t="s">
        <v>187</v>
      </c>
      <c r="B79" s="81" t="s">
        <v>444</v>
      </c>
      <c r="C79" s="82" t="s">
        <v>445</v>
      </c>
      <c r="D79" s="81" t="s">
        <v>95</v>
      </c>
      <c r="E79" s="81" t="s">
        <v>106</v>
      </c>
      <c r="F79" s="83">
        <v>13</v>
      </c>
      <c r="G79" s="84">
        <v>19.12</v>
      </c>
      <c r="H79" s="85">
        <f t="shared" si="27"/>
        <v>24.21</v>
      </c>
      <c r="I79" s="85">
        <f t="shared" si="28"/>
        <v>248.56</v>
      </c>
      <c r="J79" s="87">
        <f t="shared" si="29"/>
        <v>314.73</v>
      </c>
    </row>
    <row r="80" spans="1:10" x14ac:dyDescent="0.25">
      <c r="A80" s="86" t="s">
        <v>188</v>
      </c>
      <c r="B80" s="81" t="s">
        <v>446</v>
      </c>
      <c r="C80" s="82" t="s">
        <v>447</v>
      </c>
      <c r="D80" s="81" t="s">
        <v>267</v>
      </c>
      <c r="E80" s="81" t="s">
        <v>98</v>
      </c>
      <c r="F80" s="83">
        <v>361</v>
      </c>
      <c r="G80" s="84">
        <v>6.44</v>
      </c>
      <c r="H80" s="85">
        <f t="shared" si="27"/>
        <v>8.15</v>
      </c>
      <c r="I80" s="85">
        <f t="shared" si="28"/>
        <v>2324.84</v>
      </c>
      <c r="J80" s="87">
        <f t="shared" si="29"/>
        <v>2942.15</v>
      </c>
    </row>
    <row r="81" spans="1:10" x14ac:dyDescent="0.25">
      <c r="A81" s="86" t="s">
        <v>268</v>
      </c>
      <c r="B81" s="81" t="s">
        <v>448</v>
      </c>
      <c r="C81" s="82" t="s">
        <v>449</v>
      </c>
      <c r="D81" s="81" t="s">
        <v>265</v>
      </c>
      <c r="E81" s="81" t="s">
        <v>94</v>
      </c>
      <c r="F81" s="83">
        <v>13</v>
      </c>
      <c r="G81" s="84">
        <v>4</v>
      </c>
      <c r="H81" s="85">
        <f t="shared" si="27"/>
        <v>5.0599999999999996</v>
      </c>
      <c r="I81" s="85">
        <f t="shared" si="28"/>
        <v>52</v>
      </c>
      <c r="J81" s="87">
        <f t="shared" si="29"/>
        <v>65.78</v>
      </c>
    </row>
    <row r="82" spans="1:10" ht="47.25" x14ac:dyDescent="0.25">
      <c r="A82" s="86" t="s">
        <v>269</v>
      </c>
      <c r="B82" s="81" t="s">
        <v>318</v>
      </c>
      <c r="C82" s="82" t="s">
        <v>319</v>
      </c>
      <c r="D82" s="81" t="s">
        <v>95</v>
      </c>
      <c r="E82" s="81" t="s">
        <v>98</v>
      </c>
      <c r="F82" s="83">
        <v>115.32</v>
      </c>
      <c r="G82" s="84">
        <v>19.7</v>
      </c>
      <c r="H82" s="85">
        <f t="shared" si="27"/>
        <v>24.94</v>
      </c>
      <c r="I82" s="85">
        <f t="shared" si="28"/>
        <v>2271.8000000000002</v>
      </c>
      <c r="J82" s="87">
        <f t="shared" si="29"/>
        <v>2876.08</v>
      </c>
    </row>
    <row r="83" spans="1:10" ht="31.5" x14ac:dyDescent="0.25">
      <c r="A83" s="86" t="s">
        <v>270</v>
      </c>
      <c r="B83" s="81" t="s">
        <v>450</v>
      </c>
      <c r="C83" s="82" t="s">
        <v>451</v>
      </c>
      <c r="D83" s="81" t="s">
        <v>95</v>
      </c>
      <c r="E83" s="81" t="s">
        <v>106</v>
      </c>
      <c r="F83" s="83">
        <v>23</v>
      </c>
      <c r="G83" s="84">
        <v>1.63</v>
      </c>
      <c r="H83" s="85">
        <f t="shared" si="27"/>
        <v>2.06</v>
      </c>
      <c r="I83" s="85">
        <f t="shared" si="28"/>
        <v>37.49</v>
      </c>
      <c r="J83" s="87">
        <f t="shared" si="29"/>
        <v>47.38</v>
      </c>
    </row>
    <row r="84" spans="1:10" ht="31.5" x14ac:dyDescent="0.25">
      <c r="A84" s="86" t="s">
        <v>271</v>
      </c>
      <c r="B84" s="81" t="s">
        <v>452</v>
      </c>
      <c r="C84" s="82" t="s">
        <v>453</v>
      </c>
      <c r="D84" s="81" t="s">
        <v>95</v>
      </c>
      <c r="E84" s="81" t="s">
        <v>106</v>
      </c>
      <c r="F84" s="83">
        <v>1</v>
      </c>
      <c r="G84" s="84">
        <v>1413.49</v>
      </c>
      <c r="H84" s="85">
        <f t="shared" si="27"/>
        <v>1789.62</v>
      </c>
      <c r="I84" s="85">
        <f t="shared" si="28"/>
        <v>1413.49</v>
      </c>
      <c r="J84" s="87">
        <f t="shared" si="29"/>
        <v>1789.62</v>
      </c>
    </row>
    <row r="85" spans="1:10" x14ac:dyDescent="0.25">
      <c r="A85" s="86" t="s">
        <v>579</v>
      </c>
      <c r="B85" s="81" t="s">
        <v>454</v>
      </c>
      <c r="C85" s="82" t="s">
        <v>455</v>
      </c>
      <c r="D85" s="81" t="s">
        <v>265</v>
      </c>
      <c r="E85" s="81" t="s">
        <v>94</v>
      </c>
      <c r="F85" s="83">
        <v>4</v>
      </c>
      <c r="G85" s="84">
        <v>65.55</v>
      </c>
      <c r="H85" s="85">
        <f t="shared" si="27"/>
        <v>82.99</v>
      </c>
      <c r="I85" s="85">
        <f t="shared" si="28"/>
        <v>262.2</v>
      </c>
      <c r="J85" s="87">
        <f t="shared" si="29"/>
        <v>331.96</v>
      </c>
    </row>
    <row r="86" spans="1:10" x14ac:dyDescent="0.25">
      <c r="A86" s="18" t="s">
        <v>189</v>
      </c>
      <c r="B86" s="97" t="s">
        <v>100</v>
      </c>
      <c r="C86" s="97"/>
      <c r="D86" s="97"/>
      <c r="E86" s="97"/>
      <c r="F86" s="97"/>
      <c r="G86" s="97"/>
      <c r="H86" s="97"/>
      <c r="I86" s="17">
        <f>ROUND(SUM(I87:I111),2)</f>
        <v>21609.7</v>
      </c>
      <c r="J86" s="69">
        <f>ROUND(SUM(J87:J111),2)</f>
        <v>27358.29</v>
      </c>
    </row>
    <row r="87" spans="1:10" ht="31.5" x14ac:dyDescent="0.25">
      <c r="A87" s="86" t="s">
        <v>190</v>
      </c>
      <c r="B87" s="81" t="s">
        <v>469</v>
      </c>
      <c r="C87" s="82" t="s">
        <v>470</v>
      </c>
      <c r="D87" s="81" t="s">
        <v>95</v>
      </c>
      <c r="E87" s="81" t="s">
        <v>106</v>
      </c>
      <c r="F87" s="83">
        <v>66</v>
      </c>
      <c r="G87" s="84">
        <v>13.59</v>
      </c>
      <c r="H87" s="85">
        <f>ROUND(SUM(G87*(1+$J$7)),2)</f>
        <v>17.21</v>
      </c>
      <c r="I87" s="85">
        <f>ROUND(SUM(F87*G87),2)</f>
        <v>896.94</v>
      </c>
      <c r="J87" s="87">
        <f>ROUND(SUM(F87*H87),2)</f>
        <v>1135.8599999999999</v>
      </c>
    </row>
    <row r="88" spans="1:10" ht="31.5" x14ac:dyDescent="0.25">
      <c r="A88" s="86" t="s">
        <v>191</v>
      </c>
      <c r="B88" s="81" t="s">
        <v>294</v>
      </c>
      <c r="C88" s="82" t="s">
        <v>295</v>
      </c>
      <c r="D88" s="81" t="s">
        <v>95</v>
      </c>
      <c r="E88" s="81" t="s">
        <v>98</v>
      </c>
      <c r="F88" s="83">
        <v>371.2</v>
      </c>
      <c r="G88" s="84">
        <v>3.58</v>
      </c>
      <c r="H88" s="85">
        <f t="shared" ref="H88:H111" si="30">ROUND(SUM(G88*(1+$J$7)),2)</f>
        <v>4.53</v>
      </c>
      <c r="I88" s="85">
        <f t="shared" ref="I88:I111" si="31">ROUND(SUM(F88*G88),2)</f>
        <v>1328.9</v>
      </c>
      <c r="J88" s="87">
        <f t="shared" ref="J88:J111" si="32">ROUND(SUM(F88*H88),2)</f>
        <v>1681.54</v>
      </c>
    </row>
    <row r="89" spans="1:10" ht="31.5" x14ac:dyDescent="0.25">
      <c r="A89" s="86" t="s">
        <v>192</v>
      </c>
      <c r="B89" s="81" t="s">
        <v>471</v>
      </c>
      <c r="C89" s="82" t="s">
        <v>472</v>
      </c>
      <c r="D89" s="81" t="s">
        <v>95</v>
      </c>
      <c r="E89" s="81" t="s">
        <v>98</v>
      </c>
      <c r="F89" s="83">
        <v>2.65</v>
      </c>
      <c r="G89" s="84">
        <v>29.47</v>
      </c>
      <c r="H89" s="85">
        <f t="shared" si="30"/>
        <v>37.31</v>
      </c>
      <c r="I89" s="85">
        <f t="shared" si="31"/>
        <v>78.099999999999994</v>
      </c>
      <c r="J89" s="87">
        <f t="shared" si="32"/>
        <v>98.87</v>
      </c>
    </row>
    <row r="90" spans="1:10" ht="31.5" x14ac:dyDescent="0.25">
      <c r="A90" s="86" t="s">
        <v>273</v>
      </c>
      <c r="B90" s="81" t="s">
        <v>296</v>
      </c>
      <c r="C90" s="82" t="s">
        <v>297</v>
      </c>
      <c r="D90" s="81" t="s">
        <v>95</v>
      </c>
      <c r="E90" s="81" t="s">
        <v>98</v>
      </c>
      <c r="F90" s="83">
        <v>760.54</v>
      </c>
      <c r="G90" s="84">
        <v>5.23</v>
      </c>
      <c r="H90" s="85">
        <f t="shared" si="30"/>
        <v>6.62</v>
      </c>
      <c r="I90" s="85">
        <f t="shared" si="31"/>
        <v>3977.62</v>
      </c>
      <c r="J90" s="87">
        <f t="shared" si="32"/>
        <v>5034.7700000000004</v>
      </c>
    </row>
    <row r="91" spans="1:10" ht="31.5" x14ac:dyDescent="0.25">
      <c r="A91" s="86" t="s">
        <v>274</v>
      </c>
      <c r="B91" s="81" t="s">
        <v>298</v>
      </c>
      <c r="C91" s="82" t="s">
        <v>299</v>
      </c>
      <c r="D91" s="81" t="s">
        <v>95</v>
      </c>
      <c r="E91" s="81" t="s">
        <v>98</v>
      </c>
      <c r="F91" s="83">
        <v>294.10000000000002</v>
      </c>
      <c r="G91" s="84">
        <v>8.1199999999999992</v>
      </c>
      <c r="H91" s="85">
        <f t="shared" si="30"/>
        <v>10.28</v>
      </c>
      <c r="I91" s="85">
        <f t="shared" si="31"/>
        <v>2388.09</v>
      </c>
      <c r="J91" s="87">
        <f t="shared" si="32"/>
        <v>3023.35</v>
      </c>
    </row>
    <row r="92" spans="1:10" ht="31.5" x14ac:dyDescent="0.25">
      <c r="A92" s="86" t="s">
        <v>275</v>
      </c>
      <c r="B92" s="81" t="s">
        <v>473</v>
      </c>
      <c r="C92" s="82" t="s">
        <v>474</v>
      </c>
      <c r="D92" s="81" t="s">
        <v>627</v>
      </c>
      <c r="E92" s="81" t="s">
        <v>94</v>
      </c>
      <c r="F92" s="83">
        <v>1</v>
      </c>
      <c r="G92" s="84">
        <v>129.9</v>
      </c>
      <c r="H92" s="85">
        <f t="shared" si="30"/>
        <v>164.47</v>
      </c>
      <c r="I92" s="85">
        <f t="shared" si="31"/>
        <v>129.9</v>
      </c>
      <c r="J92" s="87">
        <f t="shared" si="32"/>
        <v>164.47</v>
      </c>
    </row>
    <row r="93" spans="1:10" ht="31.5" x14ac:dyDescent="0.25">
      <c r="A93" s="86" t="s">
        <v>276</v>
      </c>
      <c r="B93" s="81" t="s">
        <v>300</v>
      </c>
      <c r="C93" s="82" t="s">
        <v>301</v>
      </c>
      <c r="D93" s="81" t="s">
        <v>95</v>
      </c>
      <c r="E93" s="81" t="s">
        <v>106</v>
      </c>
      <c r="F93" s="83">
        <v>10</v>
      </c>
      <c r="G93" s="84">
        <v>31.54</v>
      </c>
      <c r="H93" s="85">
        <f t="shared" si="30"/>
        <v>39.93</v>
      </c>
      <c r="I93" s="85">
        <f t="shared" si="31"/>
        <v>315.39999999999998</v>
      </c>
      <c r="J93" s="87">
        <f t="shared" si="32"/>
        <v>399.3</v>
      </c>
    </row>
    <row r="94" spans="1:10" ht="31.5" x14ac:dyDescent="0.25">
      <c r="A94" s="86" t="s">
        <v>277</v>
      </c>
      <c r="B94" s="81" t="s">
        <v>475</v>
      </c>
      <c r="C94" s="82" t="s">
        <v>476</v>
      </c>
      <c r="D94" s="81" t="s">
        <v>95</v>
      </c>
      <c r="E94" s="81" t="s">
        <v>106</v>
      </c>
      <c r="F94" s="83">
        <v>4</v>
      </c>
      <c r="G94" s="84">
        <v>26.86</v>
      </c>
      <c r="H94" s="85">
        <f t="shared" si="30"/>
        <v>34.01</v>
      </c>
      <c r="I94" s="85">
        <f t="shared" si="31"/>
        <v>107.44</v>
      </c>
      <c r="J94" s="87">
        <f t="shared" si="32"/>
        <v>136.04</v>
      </c>
    </row>
    <row r="95" spans="1:10" ht="31.5" x14ac:dyDescent="0.25">
      <c r="A95" s="86" t="s">
        <v>278</v>
      </c>
      <c r="B95" s="81" t="s">
        <v>477</v>
      </c>
      <c r="C95" s="82" t="s">
        <v>478</v>
      </c>
      <c r="D95" s="81" t="s">
        <v>95</v>
      </c>
      <c r="E95" s="81" t="s">
        <v>106</v>
      </c>
      <c r="F95" s="83">
        <v>2</v>
      </c>
      <c r="G95" s="84">
        <v>47.85</v>
      </c>
      <c r="H95" s="85">
        <f t="shared" si="30"/>
        <v>60.58</v>
      </c>
      <c r="I95" s="85">
        <f t="shared" si="31"/>
        <v>95.7</v>
      </c>
      <c r="J95" s="87">
        <f t="shared" si="32"/>
        <v>121.16</v>
      </c>
    </row>
    <row r="96" spans="1:10" ht="31.5" x14ac:dyDescent="0.25">
      <c r="A96" s="86" t="s">
        <v>279</v>
      </c>
      <c r="B96" s="81" t="s">
        <v>479</v>
      </c>
      <c r="C96" s="82" t="s">
        <v>480</v>
      </c>
      <c r="D96" s="81" t="s">
        <v>95</v>
      </c>
      <c r="E96" s="81" t="s">
        <v>106</v>
      </c>
      <c r="F96" s="83">
        <v>1</v>
      </c>
      <c r="G96" s="84">
        <v>60.63</v>
      </c>
      <c r="H96" s="85">
        <f t="shared" si="30"/>
        <v>76.760000000000005</v>
      </c>
      <c r="I96" s="85">
        <f t="shared" si="31"/>
        <v>60.63</v>
      </c>
      <c r="J96" s="87">
        <f t="shared" si="32"/>
        <v>76.760000000000005</v>
      </c>
    </row>
    <row r="97" spans="1:10" ht="31.5" x14ac:dyDescent="0.25">
      <c r="A97" s="86" t="s">
        <v>280</v>
      </c>
      <c r="B97" s="81" t="s">
        <v>302</v>
      </c>
      <c r="C97" s="82" t="s">
        <v>303</v>
      </c>
      <c r="D97" s="81" t="s">
        <v>95</v>
      </c>
      <c r="E97" s="81" t="s">
        <v>106</v>
      </c>
      <c r="F97" s="83">
        <v>12</v>
      </c>
      <c r="G97" s="84">
        <v>50.73</v>
      </c>
      <c r="H97" s="85">
        <f t="shared" si="30"/>
        <v>64.23</v>
      </c>
      <c r="I97" s="85">
        <f t="shared" si="31"/>
        <v>608.76</v>
      </c>
      <c r="J97" s="87">
        <f t="shared" si="32"/>
        <v>770.76</v>
      </c>
    </row>
    <row r="98" spans="1:10" ht="31.5" x14ac:dyDescent="0.25">
      <c r="A98" s="86" t="s">
        <v>281</v>
      </c>
      <c r="B98" s="81" t="s">
        <v>481</v>
      </c>
      <c r="C98" s="82" t="s">
        <v>482</v>
      </c>
      <c r="D98" s="81" t="s">
        <v>95</v>
      </c>
      <c r="E98" s="81" t="s">
        <v>106</v>
      </c>
      <c r="F98" s="83">
        <v>2</v>
      </c>
      <c r="G98" s="84">
        <v>35.020000000000003</v>
      </c>
      <c r="H98" s="85">
        <f t="shared" si="30"/>
        <v>44.34</v>
      </c>
      <c r="I98" s="85">
        <f t="shared" si="31"/>
        <v>70.040000000000006</v>
      </c>
      <c r="J98" s="87">
        <f t="shared" si="32"/>
        <v>88.68</v>
      </c>
    </row>
    <row r="99" spans="1:10" ht="31.5" x14ac:dyDescent="0.25">
      <c r="A99" s="86" t="s">
        <v>282</v>
      </c>
      <c r="B99" s="81" t="s">
        <v>304</v>
      </c>
      <c r="C99" s="82" t="s">
        <v>305</v>
      </c>
      <c r="D99" s="81" t="s">
        <v>95</v>
      </c>
      <c r="E99" s="81" t="s">
        <v>106</v>
      </c>
      <c r="F99" s="83">
        <v>28</v>
      </c>
      <c r="G99" s="84">
        <v>33</v>
      </c>
      <c r="H99" s="85">
        <f t="shared" si="30"/>
        <v>41.78</v>
      </c>
      <c r="I99" s="85">
        <f t="shared" si="31"/>
        <v>924</v>
      </c>
      <c r="J99" s="87">
        <f t="shared" si="32"/>
        <v>1169.8399999999999</v>
      </c>
    </row>
    <row r="100" spans="1:10" ht="31.5" x14ac:dyDescent="0.25">
      <c r="A100" s="86" t="s">
        <v>283</v>
      </c>
      <c r="B100" s="81" t="s">
        <v>306</v>
      </c>
      <c r="C100" s="82" t="s">
        <v>307</v>
      </c>
      <c r="D100" s="81" t="s">
        <v>95</v>
      </c>
      <c r="E100" s="81" t="s">
        <v>106</v>
      </c>
      <c r="F100" s="83">
        <v>4</v>
      </c>
      <c r="G100" s="84">
        <v>13.8</v>
      </c>
      <c r="H100" s="85">
        <f t="shared" si="30"/>
        <v>17.47</v>
      </c>
      <c r="I100" s="85">
        <f t="shared" si="31"/>
        <v>55.2</v>
      </c>
      <c r="J100" s="87">
        <f t="shared" si="32"/>
        <v>69.88</v>
      </c>
    </row>
    <row r="101" spans="1:10" ht="31.5" x14ac:dyDescent="0.25">
      <c r="A101" s="86" t="s">
        <v>284</v>
      </c>
      <c r="B101" s="81" t="s">
        <v>308</v>
      </c>
      <c r="C101" s="82" t="s">
        <v>309</v>
      </c>
      <c r="D101" s="81" t="s">
        <v>95</v>
      </c>
      <c r="E101" s="81" t="s">
        <v>106</v>
      </c>
      <c r="F101" s="83">
        <v>6</v>
      </c>
      <c r="G101" s="84">
        <v>13.8</v>
      </c>
      <c r="H101" s="85">
        <f t="shared" si="30"/>
        <v>17.47</v>
      </c>
      <c r="I101" s="85">
        <f t="shared" si="31"/>
        <v>82.8</v>
      </c>
      <c r="J101" s="87">
        <f t="shared" si="32"/>
        <v>104.82</v>
      </c>
    </row>
    <row r="102" spans="1:10" ht="31.5" x14ac:dyDescent="0.25">
      <c r="A102" s="86" t="s">
        <v>285</v>
      </c>
      <c r="B102" s="81" t="s">
        <v>310</v>
      </c>
      <c r="C102" s="82" t="s">
        <v>311</v>
      </c>
      <c r="D102" s="81" t="s">
        <v>95</v>
      </c>
      <c r="E102" s="81" t="s">
        <v>106</v>
      </c>
      <c r="F102" s="83">
        <v>7</v>
      </c>
      <c r="G102" s="84">
        <v>68.66</v>
      </c>
      <c r="H102" s="85">
        <f t="shared" si="30"/>
        <v>86.93</v>
      </c>
      <c r="I102" s="85">
        <f t="shared" si="31"/>
        <v>480.62</v>
      </c>
      <c r="J102" s="87">
        <f t="shared" si="32"/>
        <v>608.51</v>
      </c>
    </row>
    <row r="103" spans="1:10" ht="31.5" x14ac:dyDescent="0.25">
      <c r="A103" s="86" t="s">
        <v>286</v>
      </c>
      <c r="B103" s="81" t="s">
        <v>312</v>
      </c>
      <c r="C103" s="82" t="s">
        <v>313</v>
      </c>
      <c r="D103" s="81" t="s">
        <v>627</v>
      </c>
      <c r="E103" s="81" t="s">
        <v>94</v>
      </c>
      <c r="F103" s="83">
        <v>2</v>
      </c>
      <c r="G103" s="84">
        <v>51.51</v>
      </c>
      <c r="H103" s="85">
        <f t="shared" si="30"/>
        <v>65.22</v>
      </c>
      <c r="I103" s="85">
        <f t="shared" si="31"/>
        <v>103.02</v>
      </c>
      <c r="J103" s="87">
        <f t="shared" si="32"/>
        <v>130.44</v>
      </c>
    </row>
    <row r="104" spans="1:10" ht="31.5" x14ac:dyDescent="0.25">
      <c r="A104" s="86" t="s">
        <v>287</v>
      </c>
      <c r="B104" s="81" t="s">
        <v>314</v>
      </c>
      <c r="C104" s="82" t="s">
        <v>315</v>
      </c>
      <c r="D104" s="81" t="s">
        <v>627</v>
      </c>
      <c r="E104" s="81" t="s">
        <v>94</v>
      </c>
      <c r="F104" s="83">
        <v>4</v>
      </c>
      <c r="G104" s="84">
        <v>47.27</v>
      </c>
      <c r="H104" s="85">
        <f t="shared" si="30"/>
        <v>59.85</v>
      </c>
      <c r="I104" s="85">
        <f t="shared" si="31"/>
        <v>189.08</v>
      </c>
      <c r="J104" s="87">
        <f t="shared" si="32"/>
        <v>239.4</v>
      </c>
    </row>
    <row r="105" spans="1:10" ht="47.25" x14ac:dyDescent="0.25">
      <c r="A105" s="86" t="s">
        <v>288</v>
      </c>
      <c r="B105" s="81" t="s">
        <v>316</v>
      </c>
      <c r="C105" s="82" t="s">
        <v>317</v>
      </c>
      <c r="D105" s="81" t="s">
        <v>627</v>
      </c>
      <c r="E105" s="81" t="s">
        <v>94</v>
      </c>
      <c r="F105" s="83">
        <v>1</v>
      </c>
      <c r="G105" s="84">
        <v>175.58</v>
      </c>
      <c r="H105" s="85">
        <f t="shared" si="30"/>
        <v>222.3</v>
      </c>
      <c r="I105" s="85">
        <f t="shared" si="31"/>
        <v>175.58</v>
      </c>
      <c r="J105" s="87">
        <f t="shared" si="32"/>
        <v>222.3</v>
      </c>
    </row>
    <row r="106" spans="1:10" ht="47.25" x14ac:dyDescent="0.25">
      <c r="A106" s="86" t="s">
        <v>289</v>
      </c>
      <c r="B106" s="81" t="s">
        <v>318</v>
      </c>
      <c r="C106" s="82" t="s">
        <v>319</v>
      </c>
      <c r="D106" s="81" t="s">
        <v>95</v>
      </c>
      <c r="E106" s="81" t="s">
        <v>98</v>
      </c>
      <c r="F106" s="83">
        <v>100</v>
      </c>
      <c r="G106" s="84">
        <v>19.7</v>
      </c>
      <c r="H106" s="85">
        <f t="shared" si="30"/>
        <v>24.94</v>
      </c>
      <c r="I106" s="85">
        <f t="shared" si="31"/>
        <v>1970</v>
      </c>
      <c r="J106" s="87">
        <f t="shared" si="32"/>
        <v>2494</v>
      </c>
    </row>
    <row r="107" spans="1:10" ht="47.25" x14ac:dyDescent="0.25">
      <c r="A107" s="86" t="s">
        <v>290</v>
      </c>
      <c r="B107" s="81" t="s">
        <v>483</v>
      </c>
      <c r="C107" s="82" t="s">
        <v>484</v>
      </c>
      <c r="D107" s="81" t="s">
        <v>95</v>
      </c>
      <c r="E107" s="81" t="s">
        <v>98</v>
      </c>
      <c r="F107" s="83">
        <v>213.46</v>
      </c>
      <c r="G107" s="84">
        <v>12.01</v>
      </c>
      <c r="H107" s="85">
        <f t="shared" si="30"/>
        <v>15.21</v>
      </c>
      <c r="I107" s="85">
        <f t="shared" si="31"/>
        <v>2563.65</v>
      </c>
      <c r="J107" s="87">
        <f t="shared" si="32"/>
        <v>3246.73</v>
      </c>
    </row>
    <row r="108" spans="1:10" ht="31.5" x14ac:dyDescent="0.25">
      <c r="A108" s="86" t="s">
        <v>291</v>
      </c>
      <c r="B108" s="81" t="s">
        <v>485</v>
      </c>
      <c r="C108" s="82" t="s">
        <v>486</v>
      </c>
      <c r="D108" s="81" t="s">
        <v>627</v>
      </c>
      <c r="E108" s="81" t="s">
        <v>94</v>
      </c>
      <c r="F108" s="83">
        <v>24</v>
      </c>
      <c r="G108" s="84">
        <v>17.98</v>
      </c>
      <c r="H108" s="85">
        <f t="shared" si="30"/>
        <v>22.76</v>
      </c>
      <c r="I108" s="85">
        <f t="shared" si="31"/>
        <v>431.52</v>
      </c>
      <c r="J108" s="87">
        <f t="shared" si="32"/>
        <v>546.24</v>
      </c>
    </row>
    <row r="109" spans="1:10" ht="47.25" x14ac:dyDescent="0.25">
      <c r="A109" s="86" t="s">
        <v>292</v>
      </c>
      <c r="B109" s="81" t="s">
        <v>320</v>
      </c>
      <c r="C109" s="82" t="s">
        <v>321</v>
      </c>
      <c r="D109" s="81" t="s">
        <v>627</v>
      </c>
      <c r="E109" s="81" t="s">
        <v>94</v>
      </c>
      <c r="F109" s="83">
        <v>1</v>
      </c>
      <c r="G109" s="84">
        <v>2994.82</v>
      </c>
      <c r="H109" s="85">
        <f t="shared" si="30"/>
        <v>3791.74</v>
      </c>
      <c r="I109" s="85">
        <f t="shared" si="31"/>
        <v>2994.82</v>
      </c>
      <c r="J109" s="87">
        <f t="shared" si="32"/>
        <v>3791.74</v>
      </c>
    </row>
    <row r="110" spans="1:10" ht="31.5" x14ac:dyDescent="0.25">
      <c r="A110" s="86" t="s">
        <v>293</v>
      </c>
      <c r="B110" s="81" t="s">
        <v>487</v>
      </c>
      <c r="C110" s="82" t="s">
        <v>488</v>
      </c>
      <c r="D110" s="81" t="s">
        <v>627</v>
      </c>
      <c r="E110" s="81" t="s">
        <v>94</v>
      </c>
      <c r="F110" s="83">
        <v>1</v>
      </c>
      <c r="G110" s="84">
        <v>1223.53</v>
      </c>
      <c r="H110" s="85">
        <f t="shared" si="30"/>
        <v>1549.11</v>
      </c>
      <c r="I110" s="85">
        <f t="shared" si="31"/>
        <v>1223.53</v>
      </c>
      <c r="J110" s="87">
        <f t="shared" si="32"/>
        <v>1549.11</v>
      </c>
    </row>
    <row r="111" spans="1:10" x14ac:dyDescent="0.25">
      <c r="A111" s="86" t="s">
        <v>580</v>
      </c>
      <c r="B111" s="81" t="s">
        <v>489</v>
      </c>
      <c r="C111" s="82" t="s">
        <v>490</v>
      </c>
      <c r="D111" s="81" t="s">
        <v>265</v>
      </c>
      <c r="E111" s="81" t="s">
        <v>94</v>
      </c>
      <c r="F111" s="83">
        <v>4</v>
      </c>
      <c r="G111" s="84">
        <v>89.59</v>
      </c>
      <c r="H111" s="85">
        <f t="shared" si="30"/>
        <v>113.43</v>
      </c>
      <c r="I111" s="85">
        <f t="shared" si="31"/>
        <v>358.36</v>
      </c>
      <c r="J111" s="87">
        <f t="shared" si="32"/>
        <v>453.72</v>
      </c>
    </row>
    <row r="112" spans="1:10" x14ac:dyDescent="0.25">
      <c r="A112" s="18" t="s">
        <v>193</v>
      </c>
      <c r="B112" s="97" t="s">
        <v>255</v>
      </c>
      <c r="C112" s="97"/>
      <c r="D112" s="97"/>
      <c r="E112" s="97"/>
      <c r="F112" s="97"/>
      <c r="G112" s="97"/>
      <c r="H112" s="97"/>
      <c r="I112" s="17">
        <f>ROUND(SUM(I113:I156),2)</f>
        <v>8343.7800000000007</v>
      </c>
      <c r="J112" s="69">
        <f>ROUND(SUM(J113:J156),2)</f>
        <v>10564.13</v>
      </c>
    </row>
    <row r="113" spans="1:10" ht="31.5" x14ac:dyDescent="0.25">
      <c r="A113" s="86" t="s">
        <v>581</v>
      </c>
      <c r="B113" s="81" t="s">
        <v>491</v>
      </c>
      <c r="C113" s="82" t="s">
        <v>492</v>
      </c>
      <c r="D113" s="81" t="s">
        <v>95</v>
      </c>
      <c r="E113" s="81" t="s">
        <v>106</v>
      </c>
      <c r="F113" s="83">
        <v>1</v>
      </c>
      <c r="G113" s="84">
        <v>133.46</v>
      </c>
      <c r="H113" s="85">
        <f>ROUND(SUM(G113*(1+$J$7)),2)</f>
        <v>168.97</v>
      </c>
      <c r="I113" s="85">
        <f>ROUND(SUM(F113*G113),2)</f>
        <v>133.46</v>
      </c>
      <c r="J113" s="87">
        <f>ROUND(SUM(F113*H113),2)</f>
        <v>168.97</v>
      </c>
    </row>
    <row r="114" spans="1:10" ht="31.5" x14ac:dyDescent="0.25">
      <c r="A114" s="86" t="s">
        <v>582</v>
      </c>
      <c r="B114" s="81" t="s">
        <v>493</v>
      </c>
      <c r="C114" s="82" t="s">
        <v>494</v>
      </c>
      <c r="D114" s="81" t="s">
        <v>95</v>
      </c>
      <c r="E114" s="81" t="s">
        <v>106</v>
      </c>
      <c r="F114" s="83">
        <v>1</v>
      </c>
      <c r="G114" s="84">
        <v>57.16</v>
      </c>
      <c r="H114" s="85">
        <f t="shared" ref="H114:H156" si="33">ROUND(SUM(G114*(1+$J$7)),2)</f>
        <v>72.37</v>
      </c>
      <c r="I114" s="85">
        <f t="shared" ref="I114:I156" si="34">ROUND(SUM(F114*G114),2)</f>
        <v>57.16</v>
      </c>
      <c r="J114" s="87">
        <f t="shared" ref="J114:J156" si="35">ROUND(SUM(F114*H114),2)</f>
        <v>72.37</v>
      </c>
    </row>
    <row r="115" spans="1:10" ht="31.5" x14ac:dyDescent="0.25">
      <c r="A115" s="86" t="s">
        <v>583</v>
      </c>
      <c r="B115" s="81" t="s">
        <v>495</v>
      </c>
      <c r="C115" s="82" t="s">
        <v>496</v>
      </c>
      <c r="D115" s="81" t="s">
        <v>95</v>
      </c>
      <c r="E115" s="81" t="s">
        <v>106</v>
      </c>
      <c r="F115" s="83">
        <v>2</v>
      </c>
      <c r="G115" s="84">
        <v>76.47</v>
      </c>
      <c r="H115" s="85">
        <f t="shared" si="33"/>
        <v>96.82</v>
      </c>
      <c r="I115" s="85">
        <f t="shared" si="34"/>
        <v>152.94</v>
      </c>
      <c r="J115" s="87">
        <f t="shared" si="35"/>
        <v>193.64</v>
      </c>
    </row>
    <row r="116" spans="1:10" ht="47.25" x14ac:dyDescent="0.25">
      <c r="A116" s="86" t="s">
        <v>584</v>
      </c>
      <c r="B116" s="81" t="s">
        <v>497</v>
      </c>
      <c r="C116" s="82" t="s">
        <v>498</v>
      </c>
      <c r="D116" s="81" t="s">
        <v>627</v>
      </c>
      <c r="E116" s="81" t="s">
        <v>94</v>
      </c>
      <c r="F116" s="83">
        <v>2</v>
      </c>
      <c r="G116" s="84">
        <v>383.34</v>
      </c>
      <c r="H116" s="85">
        <f t="shared" si="33"/>
        <v>485.35</v>
      </c>
      <c r="I116" s="85">
        <f t="shared" si="34"/>
        <v>766.68</v>
      </c>
      <c r="J116" s="87">
        <f t="shared" si="35"/>
        <v>970.7</v>
      </c>
    </row>
    <row r="117" spans="1:10" ht="31.5" x14ac:dyDescent="0.25">
      <c r="A117" s="86" t="s">
        <v>585</v>
      </c>
      <c r="B117" s="81" t="s">
        <v>499</v>
      </c>
      <c r="C117" s="82" t="s">
        <v>500</v>
      </c>
      <c r="D117" s="81" t="s">
        <v>95</v>
      </c>
      <c r="E117" s="81" t="s">
        <v>106</v>
      </c>
      <c r="F117" s="83">
        <v>2</v>
      </c>
      <c r="G117" s="84">
        <v>286.35000000000002</v>
      </c>
      <c r="H117" s="85">
        <f t="shared" si="33"/>
        <v>362.55</v>
      </c>
      <c r="I117" s="85">
        <f t="shared" si="34"/>
        <v>572.70000000000005</v>
      </c>
      <c r="J117" s="87">
        <f t="shared" si="35"/>
        <v>725.1</v>
      </c>
    </row>
    <row r="118" spans="1:10" ht="31.5" x14ac:dyDescent="0.25">
      <c r="A118" s="86" t="s">
        <v>586</v>
      </c>
      <c r="B118" s="81" t="s">
        <v>501</v>
      </c>
      <c r="C118" s="82" t="s">
        <v>502</v>
      </c>
      <c r="D118" s="81" t="s">
        <v>95</v>
      </c>
      <c r="E118" s="81" t="s">
        <v>106</v>
      </c>
      <c r="F118" s="83">
        <v>2</v>
      </c>
      <c r="G118" s="84">
        <v>67.38</v>
      </c>
      <c r="H118" s="85">
        <f t="shared" si="33"/>
        <v>85.31</v>
      </c>
      <c r="I118" s="85">
        <f t="shared" si="34"/>
        <v>134.76</v>
      </c>
      <c r="J118" s="87">
        <f t="shared" si="35"/>
        <v>170.62</v>
      </c>
    </row>
    <row r="119" spans="1:10" ht="31.5" x14ac:dyDescent="0.25">
      <c r="A119" s="86" t="s">
        <v>587</v>
      </c>
      <c r="B119" s="81" t="s">
        <v>503</v>
      </c>
      <c r="C119" s="82" t="s">
        <v>504</v>
      </c>
      <c r="D119" s="81" t="s">
        <v>627</v>
      </c>
      <c r="E119" s="81" t="s">
        <v>94</v>
      </c>
      <c r="F119" s="83">
        <v>2</v>
      </c>
      <c r="G119" s="84">
        <v>410.61</v>
      </c>
      <c r="H119" s="85">
        <f t="shared" si="33"/>
        <v>519.87</v>
      </c>
      <c r="I119" s="85">
        <f t="shared" si="34"/>
        <v>821.22</v>
      </c>
      <c r="J119" s="87">
        <f t="shared" si="35"/>
        <v>1039.74</v>
      </c>
    </row>
    <row r="120" spans="1:10" ht="31.5" x14ac:dyDescent="0.25">
      <c r="A120" s="86" t="s">
        <v>588</v>
      </c>
      <c r="B120" s="81" t="s">
        <v>505</v>
      </c>
      <c r="C120" s="82" t="s">
        <v>506</v>
      </c>
      <c r="D120" s="81" t="s">
        <v>627</v>
      </c>
      <c r="E120" s="81" t="s">
        <v>94</v>
      </c>
      <c r="F120" s="83">
        <v>2</v>
      </c>
      <c r="G120" s="84">
        <v>25.87</v>
      </c>
      <c r="H120" s="85">
        <f t="shared" si="33"/>
        <v>32.75</v>
      </c>
      <c r="I120" s="85">
        <f t="shared" si="34"/>
        <v>51.74</v>
      </c>
      <c r="J120" s="87">
        <f t="shared" si="35"/>
        <v>65.5</v>
      </c>
    </row>
    <row r="121" spans="1:10" ht="31.5" x14ac:dyDescent="0.25">
      <c r="A121" s="86" t="s">
        <v>589</v>
      </c>
      <c r="B121" s="81" t="s">
        <v>507</v>
      </c>
      <c r="C121" s="82" t="s">
        <v>508</v>
      </c>
      <c r="D121" s="81" t="s">
        <v>95</v>
      </c>
      <c r="E121" s="81" t="s">
        <v>106</v>
      </c>
      <c r="F121" s="83">
        <v>2</v>
      </c>
      <c r="G121" s="84">
        <v>12.75</v>
      </c>
      <c r="H121" s="85">
        <f t="shared" si="33"/>
        <v>16.14</v>
      </c>
      <c r="I121" s="85">
        <f t="shared" si="34"/>
        <v>25.5</v>
      </c>
      <c r="J121" s="87">
        <f t="shared" si="35"/>
        <v>32.28</v>
      </c>
    </row>
    <row r="122" spans="1:10" ht="47.25" x14ac:dyDescent="0.25">
      <c r="A122" s="86" t="s">
        <v>590</v>
      </c>
      <c r="B122" s="81" t="s">
        <v>509</v>
      </c>
      <c r="C122" s="82" t="s">
        <v>510</v>
      </c>
      <c r="D122" s="81" t="s">
        <v>627</v>
      </c>
      <c r="E122" s="81" t="s">
        <v>94</v>
      </c>
      <c r="F122" s="83">
        <v>2</v>
      </c>
      <c r="G122" s="84">
        <v>50.43</v>
      </c>
      <c r="H122" s="85">
        <f t="shared" si="33"/>
        <v>63.85</v>
      </c>
      <c r="I122" s="85">
        <f t="shared" si="34"/>
        <v>100.86</v>
      </c>
      <c r="J122" s="87">
        <f t="shared" si="35"/>
        <v>127.7</v>
      </c>
    </row>
    <row r="123" spans="1:10" ht="47.25" x14ac:dyDescent="0.25">
      <c r="A123" s="86" t="s">
        <v>591</v>
      </c>
      <c r="B123" s="81" t="s">
        <v>511</v>
      </c>
      <c r="C123" s="82" t="s">
        <v>512</v>
      </c>
      <c r="D123" s="81" t="s">
        <v>627</v>
      </c>
      <c r="E123" s="81" t="s">
        <v>94</v>
      </c>
      <c r="F123" s="83">
        <v>2</v>
      </c>
      <c r="G123" s="84">
        <v>123.5</v>
      </c>
      <c r="H123" s="85">
        <f t="shared" si="33"/>
        <v>156.36000000000001</v>
      </c>
      <c r="I123" s="85">
        <f t="shared" si="34"/>
        <v>247</v>
      </c>
      <c r="J123" s="87">
        <f t="shared" si="35"/>
        <v>312.72000000000003</v>
      </c>
    </row>
    <row r="124" spans="1:10" ht="47.25" x14ac:dyDescent="0.25">
      <c r="A124" s="86" t="s">
        <v>592</v>
      </c>
      <c r="B124" s="81" t="s">
        <v>513</v>
      </c>
      <c r="C124" s="82" t="s">
        <v>514</v>
      </c>
      <c r="D124" s="81" t="s">
        <v>95</v>
      </c>
      <c r="E124" s="81" t="s">
        <v>106</v>
      </c>
      <c r="F124" s="83">
        <v>4</v>
      </c>
      <c r="G124" s="84">
        <v>6.87</v>
      </c>
      <c r="H124" s="85">
        <f t="shared" si="33"/>
        <v>8.6999999999999993</v>
      </c>
      <c r="I124" s="85">
        <f t="shared" si="34"/>
        <v>27.48</v>
      </c>
      <c r="J124" s="87">
        <f t="shared" si="35"/>
        <v>34.799999999999997</v>
      </c>
    </row>
    <row r="125" spans="1:10" ht="47.25" x14ac:dyDescent="0.25">
      <c r="A125" s="86" t="s">
        <v>593</v>
      </c>
      <c r="B125" s="81" t="s">
        <v>515</v>
      </c>
      <c r="C125" s="82" t="s">
        <v>516</v>
      </c>
      <c r="D125" s="81" t="s">
        <v>95</v>
      </c>
      <c r="E125" s="81" t="s">
        <v>106</v>
      </c>
      <c r="F125" s="83">
        <v>6</v>
      </c>
      <c r="G125" s="84">
        <v>15.28</v>
      </c>
      <c r="H125" s="85">
        <f t="shared" si="33"/>
        <v>19.350000000000001</v>
      </c>
      <c r="I125" s="85">
        <f t="shared" si="34"/>
        <v>91.68</v>
      </c>
      <c r="J125" s="87">
        <f t="shared" si="35"/>
        <v>116.1</v>
      </c>
    </row>
    <row r="126" spans="1:10" ht="31.5" x14ac:dyDescent="0.25">
      <c r="A126" s="86" t="s">
        <v>594</v>
      </c>
      <c r="B126" s="81" t="s">
        <v>517</v>
      </c>
      <c r="C126" s="82" t="s">
        <v>518</v>
      </c>
      <c r="D126" s="81" t="s">
        <v>95</v>
      </c>
      <c r="E126" s="81" t="s">
        <v>106</v>
      </c>
      <c r="F126" s="83">
        <v>7</v>
      </c>
      <c r="G126" s="84">
        <v>13.21</v>
      </c>
      <c r="H126" s="85">
        <f t="shared" si="33"/>
        <v>16.73</v>
      </c>
      <c r="I126" s="85">
        <f t="shared" si="34"/>
        <v>92.47</v>
      </c>
      <c r="J126" s="87">
        <f t="shared" si="35"/>
        <v>117.11</v>
      </c>
    </row>
    <row r="127" spans="1:10" ht="31.5" x14ac:dyDescent="0.25">
      <c r="A127" s="86" t="s">
        <v>595</v>
      </c>
      <c r="B127" s="81" t="s">
        <v>519</v>
      </c>
      <c r="C127" s="82" t="s">
        <v>520</v>
      </c>
      <c r="D127" s="81" t="s">
        <v>95</v>
      </c>
      <c r="E127" s="81" t="s">
        <v>106</v>
      </c>
      <c r="F127" s="83">
        <v>2</v>
      </c>
      <c r="G127" s="84">
        <v>7.92</v>
      </c>
      <c r="H127" s="85">
        <f t="shared" si="33"/>
        <v>10.029999999999999</v>
      </c>
      <c r="I127" s="85">
        <f t="shared" si="34"/>
        <v>15.84</v>
      </c>
      <c r="J127" s="87">
        <f t="shared" si="35"/>
        <v>20.059999999999999</v>
      </c>
    </row>
    <row r="128" spans="1:10" ht="31.5" x14ac:dyDescent="0.25">
      <c r="A128" s="86" t="s">
        <v>596</v>
      </c>
      <c r="B128" s="81" t="s">
        <v>521</v>
      </c>
      <c r="C128" s="82" t="s">
        <v>522</v>
      </c>
      <c r="D128" s="81" t="s">
        <v>95</v>
      </c>
      <c r="E128" s="81" t="s">
        <v>106</v>
      </c>
      <c r="F128" s="83">
        <v>2</v>
      </c>
      <c r="G128" s="84">
        <v>16.760000000000002</v>
      </c>
      <c r="H128" s="85">
        <f t="shared" si="33"/>
        <v>21.22</v>
      </c>
      <c r="I128" s="85">
        <f t="shared" si="34"/>
        <v>33.520000000000003</v>
      </c>
      <c r="J128" s="87">
        <f t="shared" si="35"/>
        <v>42.44</v>
      </c>
    </row>
    <row r="129" spans="1:10" ht="31.5" x14ac:dyDescent="0.25">
      <c r="A129" s="86" t="s">
        <v>597</v>
      </c>
      <c r="B129" s="81" t="s">
        <v>523</v>
      </c>
      <c r="C129" s="82" t="s">
        <v>524</v>
      </c>
      <c r="D129" s="81" t="s">
        <v>95</v>
      </c>
      <c r="E129" s="81" t="s">
        <v>98</v>
      </c>
      <c r="F129" s="83">
        <v>10.81</v>
      </c>
      <c r="G129" s="84">
        <v>26.6</v>
      </c>
      <c r="H129" s="85">
        <f t="shared" si="33"/>
        <v>33.68</v>
      </c>
      <c r="I129" s="85">
        <f t="shared" si="34"/>
        <v>287.55</v>
      </c>
      <c r="J129" s="87">
        <f t="shared" si="35"/>
        <v>364.08</v>
      </c>
    </row>
    <row r="130" spans="1:10" ht="31.5" x14ac:dyDescent="0.25">
      <c r="A130" s="86" t="s">
        <v>598</v>
      </c>
      <c r="B130" s="81" t="s">
        <v>525</v>
      </c>
      <c r="C130" s="82" t="s">
        <v>526</v>
      </c>
      <c r="D130" s="81" t="s">
        <v>95</v>
      </c>
      <c r="E130" s="81" t="s">
        <v>98</v>
      </c>
      <c r="F130" s="83">
        <v>3.13</v>
      </c>
      <c r="G130" s="84">
        <v>33.35</v>
      </c>
      <c r="H130" s="85">
        <f t="shared" si="33"/>
        <v>42.22</v>
      </c>
      <c r="I130" s="85">
        <f t="shared" si="34"/>
        <v>104.39</v>
      </c>
      <c r="J130" s="87">
        <f t="shared" si="35"/>
        <v>132.15</v>
      </c>
    </row>
    <row r="131" spans="1:10" ht="31.5" x14ac:dyDescent="0.25">
      <c r="A131" s="86" t="s">
        <v>599</v>
      </c>
      <c r="B131" s="81" t="s">
        <v>527</v>
      </c>
      <c r="C131" s="82" t="s">
        <v>528</v>
      </c>
      <c r="D131" s="81" t="s">
        <v>95</v>
      </c>
      <c r="E131" s="81" t="s">
        <v>106</v>
      </c>
      <c r="F131" s="83">
        <v>2</v>
      </c>
      <c r="G131" s="84">
        <v>27.85</v>
      </c>
      <c r="H131" s="85">
        <f t="shared" si="33"/>
        <v>35.26</v>
      </c>
      <c r="I131" s="85">
        <f t="shared" si="34"/>
        <v>55.7</v>
      </c>
      <c r="J131" s="87">
        <f t="shared" si="35"/>
        <v>70.52</v>
      </c>
    </row>
    <row r="132" spans="1:10" ht="31.5" x14ac:dyDescent="0.25">
      <c r="A132" s="86" t="s">
        <v>600</v>
      </c>
      <c r="B132" s="81" t="s">
        <v>529</v>
      </c>
      <c r="C132" s="82" t="s">
        <v>530</v>
      </c>
      <c r="D132" s="81" t="s">
        <v>95</v>
      </c>
      <c r="E132" s="81" t="s">
        <v>106</v>
      </c>
      <c r="F132" s="83">
        <v>1</v>
      </c>
      <c r="G132" s="84">
        <v>18.14</v>
      </c>
      <c r="H132" s="85">
        <f t="shared" si="33"/>
        <v>22.97</v>
      </c>
      <c r="I132" s="85">
        <f t="shared" si="34"/>
        <v>18.14</v>
      </c>
      <c r="J132" s="87">
        <f t="shared" si="35"/>
        <v>22.97</v>
      </c>
    </row>
    <row r="133" spans="1:10" ht="31.5" x14ac:dyDescent="0.25">
      <c r="A133" s="86" t="s">
        <v>601</v>
      </c>
      <c r="B133" s="81" t="s">
        <v>531</v>
      </c>
      <c r="C133" s="82" t="s">
        <v>532</v>
      </c>
      <c r="D133" s="81" t="s">
        <v>95</v>
      </c>
      <c r="E133" s="81" t="s">
        <v>106</v>
      </c>
      <c r="F133" s="83">
        <v>3</v>
      </c>
      <c r="G133" s="84">
        <v>14.52</v>
      </c>
      <c r="H133" s="85">
        <f t="shared" si="33"/>
        <v>18.38</v>
      </c>
      <c r="I133" s="85">
        <f t="shared" si="34"/>
        <v>43.56</v>
      </c>
      <c r="J133" s="87">
        <f t="shared" si="35"/>
        <v>55.14</v>
      </c>
    </row>
    <row r="134" spans="1:10" ht="31.5" x14ac:dyDescent="0.25">
      <c r="A134" s="86" t="s">
        <v>602</v>
      </c>
      <c r="B134" s="81" t="s">
        <v>533</v>
      </c>
      <c r="C134" s="82" t="s">
        <v>534</v>
      </c>
      <c r="D134" s="81" t="s">
        <v>95</v>
      </c>
      <c r="E134" s="81" t="s">
        <v>106</v>
      </c>
      <c r="F134" s="83">
        <v>1</v>
      </c>
      <c r="G134" s="84">
        <v>414.77</v>
      </c>
      <c r="H134" s="85">
        <f t="shared" si="33"/>
        <v>525.14</v>
      </c>
      <c r="I134" s="85">
        <f t="shared" si="34"/>
        <v>414.77</v>
      </c>
      <c r="J134" s="87">
        <f t="shared" si="35"/>
        <v>525.14</v>
      </c>
    </row>
    <row r="135" spans="1:10" ht="63" x14ac:dyDescent="0.25">
      <c r="A135" s="86" t="s">
        <v>603</v>
      </c>
      <c r="B135" s="81" t="s">
        <v>535</v>
      </c>
      <c r="C135" s="82" t="s">
        <v>536</v>
      </c>
      <c r="D135" s="81" t="s">
        <v>627</v>
      </c>
      <c r="E135" s="81" t="s">
        <v>94</v>
      </c>
      <c r="F135" s="83">
        <v>3</v>
      </c>
      <c r="G135" s="84">
        <v>233.05</v>
      </c>
      <c r="H135" s="85">
        <f t="shared" si="33"/>
        <v>295.06</v>
      </c>
      <c r="I135" s="85">
        <f t="shared" si="34"/>
        <v>699.15</v>
      </c>
      <c r="J135" s="87">
        <f t="shared" si="35"/>
        <v>885.18</v>
      </c>
    </row>
    <row r="136" spans="1:10" x14ac:dyDescent="0.25">
      <c r="A136" s="86" t="s">
        <v>604</v>
      </c>
      <c r="B136" s="81" t="s">
        <v>537</v>
      </c>
      <c r="C136" s="82" t="s">
        <v>538</v>
      </c>
      <c r="D136" s="81" t="s">
        <v>93</v>
      </c>
      <c r="E136" s="81" t="s">
        <v>94</v>
      </c>
      <c r="F136" s="83">
        <v>3</v>
      </c>
      <c r="G136" s="84">
        <v>95.57</v>
      </c>
      <c r="H136" s="85">
        <f t="shared" si="33"/>
        <v>121</v>
      </c>
      <c r="I136" s="85">
        <f t="shared" si="34"/>
        <v>286.70999999999998</v>
      </c>
      <c r="J136" s="87">
        <f t="shared" si="35"/>
        <v>363</v>
      </c>
    </row>
    <row r="137" spans="1:10" ht="31.5" x14ac:dyDescent="0.25">
      <c r="A137" s="86" t="s">
        <v>605</v>
      </c>
      <c r="B137" s="81" t="s">
        <v>539</v>
      </c>
      <c r="C137" s="82" t="s">
        <v>540</v>
      </c>
      <c r="D137" s="81" t="s">
        <v>95</v>
      </c>
      <c r="E137" s="81" t="s">
        <v>106</v>
      </c>
      <c r="F137" s="83">
        <v>2</v>
      </c>
      <c r="G137" s="84">
        <v>232.19</v>
      </c>
      <c r="H137" s="85">
        <f t="shared" si="33"/>
        <v>293.98</v>
      </c>
      <c r="I137" s="85">
        <f t="shared" si="34"/>
        <v>464.38</v>
      </c>
      <c r="J137" s="87">
        <f t="shared" si="35"/>
        <v>587.96</v>
      </c>
    </row>
    <row r="138" spans="1:10" ht="31.5" x14ac:dyDescent="0.25">
      <c r="A138" s="86" t="s">
        <v>606</v>
      </c>
      <c r="B138" s="81" t="s">
        <v>541</v>
      </c>
      <c r="C138" s="82" t="s">
        <v>542</v>
      </c>
      <c r="D138" s="81" t="s">
        <v>627</v>
      </c>
      <c r="E138" s="81" t="s">
        <v>94</v>
      </c>
      <c r="F138" s="83">
        <v>1</v>
      </c>
      <c r="G138" s="84">
        <v>235.26</v>
      </c>
      <c r="H138" s="85">
        <f t="shared" si="33"/>
        <v>297.86</v>
      </c>
      <c r="I138" s="85">
        <f t="shared" si="34"/>
        <v>235.26</v>
      </c>
      <c r="J138" s="87">
        <f t="shared" si="35"/>
        <v>297.86</v>
      </c>
    </row>
    <row r="139" spans="1:10" x14ac:dyDescent="0.25">
      <c r="A139" s="86" t="s">
        <v>607</v>
      </c>
      <c r="B139" s="81" t="s">
        <v>543</v>
      </c>
      <c r="C139" s="82" t="s">
        <v>544</v>
      </c>
      <c r="D139" s="81" t="s">
        <v>95</v>
      </c>
      <c r="E139" s="81" t="s">
        <v>106</v>
      </c>
      <c r="F139" s="83">
        <v>1</v>
      </c>
      <c r="G139" s="84">
        <v>14.35</v>
      </c>
      <c r="H139" s="85">
        <f t="shared" si="33"/>
        <v>18.170000000000002</v>
      </c>
      <c r="I139" s="85">
        <f t="shared" si="34"/>
        <v>14.35</v>
      </c>
      <c r="J139" s="87">
        <f t="shared" si="35"/>
        <v>18.170000000000002</v>
      </c>
    </row>
    <row r="140" spans="1:10" ht="31.5" x14ac:dyDescent="0.25">
      <c r="A140" s="86" t="s">
        <v>608</v>
      </c>
      <c r="B140" s="81" t="s">
        <v>545</v>
      </c>
      <c r="C140" s="82" t="s">
        <v>546</v>
      </c>
      <c r="D140" s="81" t="s">
        <v>95</v>
      </c>
      <c r="E140" s="81" t="s">
        <v>106</v>
      </c>
      <c r="F140" s="83">
        <v>3</v>
      </c>
      <c r="G140" s="84">
        <v>10.78</v>
      </c>
      <c r="H140" s="85">
        <f t="shared" si="33"/>
        <v>13.65</v>
      </c>
      <c r="I140" s="85">
        <f t="shared" si="34"/>
        <v>32.340000000000003</v>
      </c>
      <c r="J140" s="87">
        <f t="shared" si="35"/>
        <v>40.950000000000003</v>
      </c>
    </row>
    <row r="141" spans="1:10" ht="31.5" x14ac:dyDescent="0.25">
      <c r="A141" s="86" t="s">
        <v>609</v>
      </c>
      <c r="B141" s="81" t="s">
        <v>547</v>
      </c>
      <c r="C141" s="82" t="s">
        <v>548</v>
      </c>
      <c r="D141" s="81" t="s">
        <v>95</v>
      </c>
      <c r="E141" s="81" t="s">
        <v>106</v>
      </c>
      <c r="F141" s="83">
        <v>1</v>
      </c>
      <c r="G141" s="84">
        <v>69.209999999999994</v>
      </c>
      <c r="H141" s="85">
        <f t="shared" si="33"/>
        <v>87.63</v>
      </c>
      <c r="I141" s="85">
        <f t="shared" si="34"/>
        <v>69.209999999999994</v>
      </c>
      <c r="J141" s="87">
        <f t="shared" si="35"/>
        <v>87.63</v>
      </c>
    </row>
    <row r="142" spans="1:10" x14ac:dyDescent="0.25">
      <c r="A142" s="86" t="s">
        <v>610</v>
      </c>
      <c r="B142" s="81" t="s">
        <v>549</v>
      </c>
      <c r="C142" s="82" t="s">
        <v>550</v>
      </c>
      <c r="D142" s="81" t="s">
        <v>95</v>
      </c>
      <c r="E142" s="81" t="s">
        <v>106</v>
      </c>
      <c r="F142" s="83">
        <v>13</v>
      </c>
      <c r="G142" s="84">
        <v>3</v>
      </c>
      <c r="H142" s="85">
        <f t="shared" si="33"/>
        <v>3.8</v>
      </c>
      <c r="I142" s="85">
        <f t="shared" si="34"/>
        <v>39</v>
      </c>
      <c r="J142" s="87">
        <f t="shared" si="35"/>
        <v>49.4</v>
      </c>
    </row>
    <row r="143" spans="1:10" x14ac:dyDescent="0.25">
      <c r="A143" s="86" t="s">
        <v>611</v>
      </c>
      <c r="B143" s="81" t="s">
        <v>551</v>
      </c>
      <c r="C143" s="82" t="s">
        <v>552</v>
      </c>
      <c r="D143" s="81" t="s">
        <v>95</v>
      </c>
      <c r="E143" s="81" t="s">
        <v>106</v>
      </c>
      <c r="F143" s="83">
        <v>10</v>
      </c>
      <c r="G143" s="84">
        <v>1.69</v>
      </c>
      <c r="H143" s="85">
        <f t="shared" si="33"/>
        <v>2.14</v>
      </c>
      <c r="I143" s="85">
        <f t="shared" si="34"/>
        <v>16.899999999999999</v>
      </c>
      <c r="J143" s="87">
        <f t="shared" si="35"/>
        <v>21.4</v>
      </c>
    </row>
    <row r="144" spans="1:10" ht="47.25" x14ac:dyDescent="0.25">
      <c r="A144" s="86" t="s">
        <v>612</v>
      </c>
      <c r="B144" s="81" t="s">
        <v>553</v>
      </c>
      <c r="C144" s="82" t="s">
        <v>554</v>
      </c>
      <c r="D144" s="81" t="s">
        <v>95</v>
      </c>
      <c r="E144" s="81" t="s">
        <v>106</v>
      </c>
      <c r="F144" s="83">
        <v>3</v>
      </c>
      <c r="G144" s="84">
        <v>14.83</v>
      </c>
      <c r="H144" s="85">
        <f t="shared" si="33"/>
        <v>18.78</v>
      </c>
      <c r="I144" s="85">
        <f t="shared" si="34"/>
        <v>44.49</v>
      </c>
      <c r="J144" s="87">
        <f t="shared" si="35"/>
        <v>56.34</v>
      </c>
    </row>
    <row r="145" spans="1:10" ht="47.25" x14ac:dyDescent="0.25">
      <c r="A145" s="86" t="s">
        <v>613</v>
      </c>
      <c r="B145" s="81" t="s">
        <v>555</v>
      </c>
      <c r="C145" s="82" t="s">
        <v>556</v>
      </c>
      <c r="D145" s="81" t="s">
        <v>95</v>
      </c>
      <c r="E145" s="81" t="s">
        <v>106</v>
      </c>
      <c r="F145" s="83">
        <v>1</v>
      </c>
      <c r="G145" s="84">
        <v>16.97</v>
      </c>
      <c r="H145" s="85">
        <f t="shared" si="33"/>
        <v>21.49</v>
      </c>
      <c r="I145" s="85">
        <f t="shared" si="34"/>
        <v>16.97</v>
      </c>
      <c r="J145" s="87">
        <f t="shared" si="35"/>
        <v>21.49</v>
      </c>
    </row>
    <row r="146" spans="1:10" ht="47.25" x14ac:dyDescent="0.25">
      <c r="A146" s="86" t="s">
        <v>614</v>
      </c>
      <c r="B146" s="81" t="s">
        <v>557</v>
      </c>
      <c r="C146" s="82" t="s">
        <v>558</v>
      </c>
      <c r="D146" s="81" t="s">
        <v>95</v>
      </c>
      <c r="E146" s="81" t="s">
        <v>106</v>
      </c>
      <c r="F146" s="83">
        <v>2</v>
      </c>
      <c r="G146" s="84">
        <v>29.76</v>
      </c>
      <c r="H146" s="85">
        <f t="shared" si="33"/>
        <v>37.68</v>
      </c>
      <c r="I146" s="85">
        <f t="shared" si="34"/>
        <v>59.52</v>
      </c>
      <c r="J146" s="87">
        <f t="shared" si="35"/>
        <v>75.36</v>
      </c>
    </row>
    <row r="147" spans="1:10" ht="47.25" x14ac:dyDescent="0.25">
      <c r="A147" s="86" t="s">
        <v>615</v>
      </c>
      <c r="B147" s="81" t="s">
        <v>559</v>
      </c>
      <c r="C147" s="82" t="s">
        <v>560</v>
      </c>
      <c r="D147" s="81" t="s">
        <v>95</v>
      </c>
      <c r="E147" s="81" t="s">
        <v>106</v>
      </c>
      <c r="F147" s="83">
        <v>2</v>
      </c>
      <c r="G147" s="84">
        <v>16.16</v>
      </c>
      <c r="H147" s="85">
        <f t="shared" si="33"/>
        <v>20.46</v>
      </c>
      <c r="I147" s="85">
        <f t="shared" si="34"/>
        <v>32.32</v>
      </c>
      <c r="J147" s="87">
        <f t="shared" si="35"/>
        <v>40.92</v>
      </c>
    </row>
    <row r="148" spans="1:10" ht="31.5" x14ac:dyDescent="0.25">
      <c r="A148" s="86" t="s">
        <v>616</v>
      </c>
      <c r="B148" s="81" t="s">
        <v>561</v>
      </c>
      <c r="C148" s="82" t="s">
        <v>562</v>
      </c>
      <c r="D148" s="81" t="s">
        <v>95</v>
      </c>
      <c r="E148" s="81" t="s">
        <v>106</v>
      </c>
      <c r="F148" s="83">
        <v>3</v>
      </c>
      <c r="G148" s="84">
        <v>6.37</v>
      </c>
      <c r="H148" s="85">
        <f t="shared" si="33"/>
        <v>8.07</v>
      </c>
      <c r="I148" s="85">
        <f t="shared" si="34"/>
        <v>19.11</v>
      </c>
      <c r="J148" s="87">
        <f t="shared" si="35"/>
        <v>24.21</v>
      </c>
    </row>
    <row r="149" spans="1:10" ht="31.5" x14ac:dyDescent="0.25">
      <c r="A149" s="86" t="s">
        <v>617</v>
      </c>
      <c r="B149" s="81" t="s">
        <v>563</v>
      </c>
      <c r="C149" s="82" t="s">
        <v>564</v>
      </c>
      <c r="D149" s="81" t="s">
        <v>95</v>
      </c>
      <c r="E149" s="81" t="s">
        <v>106</v>
      </c>
      <c r="F149" s="83">
        <v>3</v>
      </c>
      <c r="G149" s="84">
        <v>21.01</v>
      </c>
      <c r="H149" s="85">
        <f t="shared" si="33"/>
        <v>26.6</v>
      </c>
      <c r="I149" s="85">
        <f t="shared" si="34"/>
        <v>63.03</v>
      </c>
      <c r="J149" s="87">
        <f t="shared" si="35"/>
        <v>79.8</v>
      </c>
    </row>
    <row r="150" spans="1:10" ht="47.25" x14ac:dyDescent="0.25">
      <c r="A150" s="86" t="s">
        <v>618</v>
      </c>
      <c r="B150" s="81" t="s">
        <v>565</v>
      </c>
      <c r="C150" s="82" t="s">
        <v>566</v>
      </c>
      <c r="D150" s="81" t="s">
        <v>95</v>
      </c>
      <c r="E150" s="81" t="s">
        <v>106</v>
      </c>
      <c r="F150" s="83">
        <v>3</v>
      </c>
      <c r="G150" s="84">
        <v>8.58</v>
      </c>
      <c r="H150" s="85">
        <f t="shared" si="33"/>
        <v>10.86</v>
      </c>
      <c r="I150" s="85">
        <f t="shared" si="34"/>
        <v>25.74</v>
      </c>
      <c r="J150" s="87">
        <f t="shared" si="35"/>
        <v>32.58</v>
      </c>
    </row>
    <row r="151" spans="1:10" ht="47.25" x14ac:dyDescent="0.25">
      <c r="A151" s="86" t="s">
        <v>619</v>
      </c>
      <c r="B151" s="81" t="s">
        <v>567</v>
      </c>
      <c r="C151" s="82" t="s">
        <v>568</v>
      </c>
      <c r="D151" s="81" t="s">
        <v>95</v>
      </c>
      <c r="E151" s="81" t="s">
        <v>106</v>
      </c>
      <c r="F151" s="83">
        <v>9</v>
      </c>
      <c r="G151" s="84">
        <v>19.82</v>
      </c>
      <c r="H151" s="85">
        <f t="shared" si="33"/>
        <v>25.09</v>
      </c>
      <c r="I151" s="85">
        <f t="shared" si="34"/>
        <v>178.38</v>
      </c>
      <c r="J151" s="87">
        <f t="shared" si="35"/>
        <v>225.81</v>
      </c>
    </row>
    <row r="152" spans="1:10" ht="47.25" x14ac:dyDescent="0.25">
      <c r="A152" s="86" t="s">
        <v>620</v>
      </c>
      <c r="B152" s="81" t="s">
        <v>569</v>
      </c>
      <c r="C152" s="82" t="s">
        <v>570</v>
      </c>
      <c r="D152" s="81" t="s">
        <v>95</v>
      </c>
      <c r="E152" s="81" t="s">
        <v>106</v>
      </c>
      <c r="F152" s="83">
        <v>4</v>
      </c>
      <c r="G152" s="84">
        <v>10.47</v>
      </c>
      <c r="H152" s="85">
        <f t="shared" si="33"/>
        <v>13.26</v>
      </c>
      <c r="I152" s="85">
        <f t="shared" si="34"/>
        <v>41.88</v>
      </c>
      <c r="J152" s="87">
        <f t="shared" si="35"/>
        <v>53.04</v>
      </c>
    </row>
    <row r="153" spans="1:10" ht="31.5" x14ac:dyDescent="0.25">
      <c r="A153" s="86" t="s">
        <v>621</v>
      </c>
      <c r="B153" s="81" t="s">
        <v>571</v>
      </c>
      <c r="C153" s="82" t="s">
        <v>572</v>
      </c>
      <c r="D153" s="81" t="s">
        <v>95</v>
      </c>
      <c r="E153" s="81" t="s">
        <v>98</v>
      </c>
      <c r="F153" s="83">
        <v>35.03</v>
      </c>
      <c r="G153" s="84">
        <v>42.84</v>
      </c>
      <c r="H153" s="85">
        <f t="shared" si="33"/>
        <v>54.24</v>
      </c>
      <c r="I153" s="85">
        <f t="shared" si="34"/>
        <v>1500.69</v>
      </c>
      <c r="J153" s="87">
        <f t="shared" si="35"/>
        <v>1900.03</v>
      </c>
    </row>
    <row r="154" spans="1:10" ht="31.5" x14ac:dyDescent="0.25">
      <c r="A154" s="86" t="s">
        <v>622</v>
      </c>
      <c r="B154" s="81" t="s">
        <v>573</v>
      </c>
      <c r="C154" s="82" t="s">
        <v>574</v>
      </c>
      <c r="D154" s="81" t="s">
        <v>95</v>
      </c>
      <c r="E154" s="81" t="s">
        <v>98</v>
      </c>
      <c r="F154" s="83">
        <v>2.29</v>
      </c>
      <c r="G154" s="84">
        <v>24.32</v>
      </c>
      <c r="H154" s="85">
        <f t="shared" si="33"/>
        <v>30.79</v>
      </c>
      <c r="I154" s="85">
        <f t="shared" si="34"/>
        <v>55.69</v>
      </c>
      <c r="J154" s="87">
        <f t="shared" si="35"/>
        <v>70.510000000000005</v>
      </c>
    </row>
    <row r="155" spans="1:10" ht="31.5" x14ac:dyDescent="0.25">
      <c r="A155" s="86" t="s">
        <v>623</v>
      </c>
      <c r="B155" s="81" t="s">
        <v>575</v>
      </c>
      <c r="C155" s="82" t="s">
        <v>576</v>
      </c>
      <c r="D155" s="81" t="s">
        <v>95</v>
      </c>
      <c r="E155" s="81" t="s">
        <v>98</v>
      </c>
      <c r="F155" s="83">
        <v>6</v>
      </c>
      <c r="G155" s="84">
        <v>30.78</v>
      </c>
      <c r="H155" s="85">
        <f t="shared" si="33"/>
        <v>38.97</v>
      </c>
      <c r="I155" s="85">
        <f t="shared" si="34"/>
        <v>184.68</v>
      </c>
      <c r="J155" s="87">
        <f t="shared" si="35"/>
        <v>233.82</v>
      </c>
    </row>
    <row r="156" spans="1:10" ht="31.5" x14ac:dyDescent="0.25">
      <c r="A156" s="86" t="s">
        <v>624</v>
      </c>
      <c r="B156" s="81" t="s">
        <v>577</v>
      </c>
      <c r="C156" s="82" t="s">
        <v>578</v>
      </c>
      <c r="D156" s="81" t="s">
        <v>627</v>
      </c>
      <c r="E156" s="81" t="s">
        <v>94</v>
      </c>
      <c r="F156" s="83">
        <v>2</v>
      </c>
      <c r="G156" s="84">
        <v>7.43</v>
      </c>
      <c r="H156" s="85">
        <f t="shared" si="33"/>
        <v>9.41</v>
      </c>
      <c r="I156" s="85">
        <f t="shared" si="34"/>
        <v>14.86</v>
      </c>
      <c r="J156" s="87">
        <f t="shared" si="35"/>
        <v>18.82</v>
      </c>
    </row>
    <row r="157" spans="1:10" x14ac:dyDescent="0.25">
      <c r="A157" s="18" t="s">
        <v>194</v>
      </c>
      <c r="B157" s="97" t="s">
        <v>18</v>
      </c>
      <c r="C157" s="97"/>
      <c r="D157" s="97"/>
      <c r="E157" s="97"/>
      <c r="F157" s="97"/>
      <c r="G157" s="97"/>
      <c r="H157" s="97"/>
      <c r="I157" s="17">
        <f>ROUND(SUM(I158:I159),2)</f>
        <v>2599.41</v>
      </c>
      <c r="J157" s="69">
        <f>ROUND(SUM(J158:J159),2)</f>
        <v>3290.93</v>
      </c>
    </row>
    <row r="158" spans="1:10" x14ac:dyDescent="0.25">
      <c r="A158" s="86" t="s">
        <v>195</v>
      </c>
      <c r="B158" s="81" t="s">
        <v>256</v>
      </c>
      <c r="C158" s="82" t="s">
        <v>257</v>
      </c>
      <c r="D158" s="81" t="s">
        <v>627</v>
      </c>
      <c r="E158" s="81" t="s">
        <v>97</v>
      </c>
      <c r="F158" s="83">
        <f>F32</f>
        <v>154.06</v>
      </c>
      <c r="G158" s="84">
        <v>8.61</v>
      </c>
      <c r="H158" s="85">
        <f>ROUND(SUM(G158*(1+$J$7)),2)</f>
        <v>10.9</v>
      </c>
      <c r="I158" s="85">
        <f>ROUND(SUM(F158*G158),2)</f>
        <v>1326.46</v>
      </c>
      <c r="J158" s="87">
        <f>ROUND(SUM(F158*H158),2)</f>
        <v>1679.25</v>
      </c>
    </row>
    <row r="159" spans="1:10" ht="31.5" x14ac:dyDescent="0.25">
      <c r="A159" s="86" t="s">
        <v>626</v>
      </c>
      <c r="B159" s="81" t="s">
        <v>625</v>
      </c>
      <c r="C159" s="82" t="s">
        <v>633</v>
      </c>
      <c r="D159" s="81" t="s">
        <v>627</v>
      </c>
      <c r="E159" s="81" t="s">
        <v>628</v>
      </c>
      <c r="F159" s="83">
        <v>1</v>
      </c>
      <c r="G159" s="84">
        <v>1272.95</v>
      </c>
      <c r="H159" s="85">
        <f>ROUND(SUM(G159*(1+$J$7)),2)</f>
        <v>1611.68</v>
      </c>
      <c r="I159" s="85">
        <f>ROUND(SUM(F159*G159),2)</f>
        <v>1272.95</v>
      </c>
      <c r="J159" s="87">
        <f>ROUND(SUM(F159*H159),2)</f>
        <v>1611.68</v>
      </c>
    </row>
    <row r="160" spans="1:10" x14ac:dyDescent="0.25">
      <c r="A160" s="22"/>
      <c r="B160" s="19"/>
      <c r="C160" s="19"/>
      <c r="D160" s="19"/>
      <c r="E160" s="19"/>
      <c r="F160" s="26"/>
      <c r="G160" s="29"/>
      <c r="H160" s="100" t="s">
        <v>124</v>
      </c>
      <c r="I160" s="100"/>
      <c r="J160" s="76">
        <f>J11</f>
        <v>161471.54999999999</v>
      </c>
    </row>
    <row r="161" spans="1:10" x14ac:dyDescent="0.25">
      <c r="A161" s="23"/>
      <c r="B161" s="20"/>
      <c r="C161" s="20"/>
      <c r="D161" s="20"/>
      <c r="E161" s="20"/>
      <c r="F161" s="75"/>
      <c r="G161" s="30"/>
      <c r="H161" s="30"/>
      <c r="I161" s="30"/>
      <c r="J161" s="31"/>
    </row>
    <row r="162" spans="1:10" x14ac:dyDescent="0.25">
      <c r="A162" s="23"/>
      <c r="B162" s="20"/>
      <c r="C162" s="20"/>
      <c r="D162" s="20"/>
      <c r="E162" s="20"/>
      <c r="F162" s="75"/>
      <c r="G162" s="30"/>
      <c r="H162" s="30"/>
      <c r="I162" s="30"/>
      <c r="J162" s="31"/>
    </row>
    <row r="163" spans="1:10" x14ac:dyDescent="0.25">
      <c r="A163" s="23"/>
      <c r="B163" s="20"/>
      <c r="C163" s="20"/>
      <c r="D163" s="20"/>
      <c r="E163" s="20"/>
      <c r="F163" s="75"/>
      <c r="G163" s="30"/>
      <c r="H163" s="30"/>
      <c r="I163" s="30"/>
      <c r="J163" s="31"/>
    </row>
    <row r="164" spans="1:10" x14ac:dyDescent="0.25">
      <c r="A164" s="23"/>
      <c r="B164" s="20"/>
      <c r="C164" s="20"/>
      <c r="D164" s="20"/>
      <c r="E164" s="20"/>
      <c r="F164" s="75"/>
      <c r="G164" s="30"/>
      <c r="H164" s="30"/>
      <c r="I164" s="30"/>
      <c r="J164" s="31"/>
    </row>
    <row r="165" spans="1:10" x14ac:dyDescent="0.25">
      <c r="A165" s="23"/>
      <c r="B165" s="20"/>
      <c r="C165" s="20"/>
      <c r="D165" s="20"/>
      <c r="E165" s="20"/>
      <c r="F165" s="75"/>
      <c r="G165" s="30"/>
      <c r="H165" s="30"/>
      <c r="I165" s="30"/>
      <c r="J165" s="31"/>
    </row>
    <row r="166" spans="1:10" x14ac:dyDescent="0.25">
      <c r="A166" s="23"/>
      <c r="B166" s="20"/>
      <c r="C166" s="20"/>
      <c r="D166" s="20"/>
      <c r="E166" s="20"/>
      <c r="F166" s="75"/>
      <c r="G166" s="30"/>
      <c r="H166" s="30"/>
      <c r="I166" s="30"/>
      <c r="J166" s="31"/>
    </row>
    <row r="167" spans="1:10" x14ac:dyDescent="0.25">
      <c r="A167" s="23"/>
      <c r="B167" s="20"/>
      <c r="C167" s="74" t="s">
        <v>26</v>
      </c>
      <c r="D167" s="20"/>
      <c r="E167" s="88" t="s">
        <v>343</v>
      </c>
      <c r="F167" s="88"/>
      <c r="G167" s="88"/>
      <c r="H167" s="88"/>
      <c r="I167" s="88"/>
      <c r="J167" s="31"/>
    </row>
    <row r="168" spans="1:10" x14ac:dyDescent="0.25">
      <c r="A168" s="23"/>
      <c r="B168" s="20"/>
      <c r="C168" s="75" t="s">
        <v>24</v>
      </c>
      <c r="D168" s="20"/>
      <c r="E168" s="89" t="s">
        <v>262</v>
      </c>
      <c r="F168" s="89"/>
      <c r="G168" s="89"/>
      <c r="H168" s="89"/>
      <c r="I168" s="89"/>
      <c r="J168" s="31"/>
    </row>
    <row r="169" spans="1:10" ht="16.5" thickBot="1" x14ac:dyDescent="0.3">
      <c r="A169" s="24"/>
      <c r="B169" s="21"/>
      <c r="C169" s="21"/>
      <c r="D169" s="21"/>
      <c r="E169" s="21"/>
      <c r="F169" s="27"/>
      <c r="G169" s="32"/>
      <c r="H169" s="32"/>
      <c r="I169" s="32"/>
      <c r="J169" s="33"/>
    </row>
  </sheetData>
  <mergeCells count="38">
    <mergeCell ref="B157:H157"/>
    <mergeCell ref="B36:H36"/>
    <mergeCell ref="B45:H45"/>
    <mergeCell ref="B50:H50"/>
    <mergeCell ref="B58:H58"/>
    <mergeCell ref="B72:H72"/>
    <mergeCell ref="A7:F7"/>
    <mergeCell ref="H160:I160"/>
    <mergeCell ref="A1:J1"/>
    <mergeCell ref="A2:J2"/>
    <mergeCell ref="A3:F3"/>
    <mergeCell ref="G3:H3"/>
    <mergeCell ref="I3:J3"/>
    <mergeCell ref="A4:F4"/>
    <mergeCell ref="G4:H4"/>
    <mergeCell ref="I4:J4"/>
    <mergeCell ref="A5:F5"/>
    <mergeCell ref="G5:J5"/>
    <mergeCell ref="A6:F6"/>
    <mergeCell ref="B11:H11"/>
    <mergeCell ref="B12:H12"/>
    <mergeCell ref="B14:H14"/>
    <mergeCell ref="E167:I167"/>
    <mergeCell ref="E168:I168"/>
    <mergeCell ref="A8:J8"/>
    <mergeCell ref="A9:A10"/>
    <mergeCell ref="B9:B10"/>
    <mergeCell ref="C9:C10"/>
    <mergeCell ref="D9:D10"/>
    <mergeCell ref="E9:E10"/>
    <mergeCell ref="F9:F10"/>
    <mergeCell ref="G9:H9"/>
    <mergeCell ref="I9:J9"/>
    <mergeCell ref="B21:H21"/>
    <mergeCell ref="B27:H27"/>
    <mergeCell ref="B86:H86"/>
    <mergeCell ref="B112:H112"/>
    <mergeCell ref="B29:H29"/>
  </mergeCells>
  <phoneticPr fontId="6" type="noConversion"/>
  <pageMargins left="0.25" right="0.25" top="0.75" bottom="0.75" header="0.3" footer="0.3"/>
  <pageSetup paperSize="9" scale="57" fitToHeight="0" orientation="landscape" r:id="rId1"/>
  <headerFooter>
    <oddFooter>&amp;Lvlkengenhariaprojetos@gmail.com
@vlkengenharia
(38) 99977-6300&amp;CVLK ENGENHARIA
Av. Coronel Prates, nº 409, Sala 301, Centro, Montes Claros-MG&amp;RPágina &amp;P de &amp;N</oddFooter>
  </headerFooter>
  <rowBreaks count="7" manualBreakCount="7">
    <brk id="28" max="9" man="1"/>
    <brk id="49" max="9" man="1"/>
    <brk id="70" max="9" man="1"/>
    <brk id="94" max="9" man="1"/>
    <brk id="111" max="9" man="1"/>
    <brk id="128" max="9" man="1"/>
    <brk id="147" max="9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D3F58-91E4-4D12-AEBF-71BA29CC291D}">
  <sheetPr>
    <pageSetUpPr fitToPage="1"/>
  </sheetPr>
  <dimension ref="A1:K859"/>
  <sheetViews>
    <sheetView view="pageBreakPreview" zoomScale="70" zoomScaleNormal="80" zoomScaleSheetLayoutView="70" zoomScalePageLayoutView="60" workbookViewId="0">
      <selection activeCell="D25" sqref="D25"/>
    </sheetView>
  </sheetViews>
  <sheetFormatPr defaultRowHeight="15" x14ac:dyDescent="0.25"/>
  <cols>
    <col min="1" max="2" width="25.28515625" customWidth="1"/>
    <col min="3" max="3" width="49.7109375" customWidth="1"/>
    <col min="4" max="10" width="29.42578125" customWidth="1"/>
    <col min="11" max="11" width="37.28515625" customWidth="1"/>
  </cols>
  <sheetData>
    <row r="1" spans="1:11" ht="15.75" x14ac:dyDescent="0.25">
      <c r="A1" s="10" t="s">
        <v>13</v>
      </c>
      <c r="B1" s="154" t="s">
        <v>636</v>
      </c>
      <c r="C1" s="154"/>
      <c r="D1" s="154"/>
      <c r="E1" s="154"/>
      <c r="F1" s="154"/>
      <c r="G1" s="154"/>
      <c r="H1" s="154"/>
      <c r="I1" s="156"/>
      <c r="J1" s="156"/>
      <c r="K1" s="157"/>
    </row>
    <row r="2" spans="1:11" ht="31.5" x14ac:dyDescent="0.25">
      <c r="A2" s="6" t="s">
        <v>0</v>
      </c>
      <c r="B2" s="155" t="s">
        <v>219</v>
      </c>
      <c r="C2" s="155"/>
      <c r="D2" s="155"/>
      <c r="E2" s="155"/>
      <c r="F2" s="155"/>
      <c r="G2" s="155"/>
      <c r="H2" s="155"/>
      <c r="I2" s="158"/>
      <c r="J2" s="158"/>
      <c r="K2" s="159"/>
    </row>
    <row r="3" spans="1:11" ht="15.75" x14ac:dyDescent="0.25">
      <c r="A3" s="6" t="s">
        <v>2</v>
      </c>
      <c r="B3" s="155" t="s">
        <v>631</v>
      </c>
      <c r="C3" s="169"/>
      <c r="D3" s="169"/>
      <c r="E3" s="169"/>
      <c r="F3" s="169"/>
      <c r="G3" s="169"/>
      <c r="H3" s="7" t="s">
        <v>9</v>
      </c>
      <c r="I3" s="166">
        <f ca="1">TODAY()</f>
        <v>46224</v>
      </c>
      <c r="J3" s="164"/>
      <c r="K3" s="165"/>
    </row>
    <row r="4" spans="1:11" ht="31.5" x14ac:dyDescent="0.25">
      <c r="A4" s="6" t="s">
        <v>1</v>
      </c>
      <c r="B4" s="168" t="s">
        <v>26</v>
      </c>
      <c r="C4" s="168"/>
      <c r="D4" s="168"/>
      <c r="E4" s="168"/>
      <c r="F4" s="168"/>
      <c r="G4" s="168"/>
      <c r="H4" s="7" t="s">
        <v>8</v>
      </c>
      <c r="I4" s="164"/>
      <c r="J4" s="164"/>
      <c r="K4" s="165"/>
    </row>
    <row r="5" spans="1:11" ht="15.75" x14ac:dyDescent="0.25">
      <c r="A5" s="167" t="s">
        <v>342</v>
      </c>
      <c r="B5" s="155"/>
      <c r="C5" s="155"/>
      <c r="D5" s="155"/>
      <c r="E5" s="155"/>
      <c r="F5" s="155"/>
      <c r="G5" s="155"/>
      <c r="H5" s="7" t="s">
        <v>10</v>
      </c>
      <c r="I5" s="12">
        <v>0.03</v>
      </c>
      <c r="J5" s="7" t="s">
        <v>11</v>
      </c>
      <c r="K5" s="1">
        <v>0.2661</v>
      </c>
    </row>
    <row r="6" spans="1:11" ht="15.75" x14ac:dyDescent="0.25">
      <c r="A6" s="160"/>
      <c r="B6" s="158"/>
      <c r="C6" s="158"/>
      <c r="D6" s="158"/>
      <c r="E6" s="158"/>
      <c r="F6" s="158"/>
      <c r="G6" s="158"/>
      <c r="H6" s="158"/>
      <c r="I6" s="158"/>
      <c r="J6" s="158"/>
      <c r="K6" s="159"/>
    </row>
    <row r="7" spans="1:11" ht="15.75" x14ac:dyDescent="0.25">
      <c r="A7" s="8" t="s">
        <v>14</v>
      </c>
      <c r="B7" s="9"/>
      <c r="C7" s="170" t="s">
        <v>136</v>
      </c>
      <c r="D7" s="171"/>
      <c r="E7" s="171"/>
      <c r="F7" s="171"/>
      <c r="G7" s="171"/>
      <c r="H7" s="171"/>
      <c r="I7" s="171"/>
      <c r="J7" s="171"/>
      <c r="K7" s="172"/>
    </row>
    <row r="8" spans="1:11" ht="15.75" x14ac:dyDescent="0.25">
      <c r="A8" s="161" t="s">
        <v>15</v>
      </c>
      <c r="B8" s="162"/>
      <c r="C8" s="162" t="s">
        <v>18</v>
      </c>
      <c r="D8" s="162"/>
      <c r="E8" s="162"/>
      <c r="F8" s="162"/>
      <c r="G8" s="162"/>
      <c r="H8" s="162"/>
      <c r="I8" s="162"/>
      <c r="J8" s="162"/>
      <c r="K8" s="163"/>
    </row>
    <row r="9" spans="1:11" ht="31.5" customHeight="1" x14ac:dyDescent="0.25">
      <c r="A9" s="51" t="s">
        <v>3</v>
      </c>
      <c r="B9" s="59" t="s">
        <v>16</v>
      </c>
      <c r="C9" s="118" t="str">
        <f>'PLANILHA ORÇAMENTÁRIA '!C13</f>
        <v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v>
      </c>
      <c r="D9" s="119"/>
      <c r="E9" s="119"/>
      <c r="F9" s="119"/>
      <c r="G9" s="119"/>
      <c r="H9" s="119"/>
      <c r="I9" s="119"/>
      <c r="J9" s="119"/>
      <c r="K9" s="120"/>
    </row>
    <row r="10" spans="1:11" ht="15.75" x14ac:dyDescent="0.25">
      <c r="A10" s="121" t="s">
        <v>4</v>
      </c>
      <c r="B10" s="122"/>
      <c r="C10" s="59"/>
      <c r="D10" s="59"/>
      <c r="E10" s="59"/>
      <c r="F10" s="59"/>
      <c r="G10" s="59"/>
      <c r="H10" s="59"/>
      <c r="I10" s="59" t="s">
        <v>6</v>
      </c>
      <c r="J10" s="59" t="s">
        <v>42</v>
      </c>
      <c r="K10" s="11" t="s">
        <v>7</v>
      </c>
    </row>
    <row r="11" spans="1:11" ht="15.75" x14ac:dyDescent="0.25">
      <c r="A11" s="123" t="s">
        <v>20</v>
      </c>
      <c r="B11" s="124"/>
      <c r="C11" s="57"/>
      <c r="D11" s="60"/>
      <c r="E11" s="60"/>
      <c r="F11" s="60"/>
      <c r="G11" s="57"/>
      <c r="H11" s="57"/>
      <c r="I11" s="60">
        <v>1</v>
      </c>
      <c r="J11" s="60">
        <f>I11</f>
        <v>1</v>
      </c>
      <c r="K11" s="126"/>
    </row>
    <row r="12" spans="1:11" ht="15.75" x14ac:dyDescent="0.25">
      <c r="A12" s="123" t="s">
        <v>12</v>
      </c>
      <c r="B12" s="124"/>
      <c r="C12" s="124"/>
      <c r="D12" s="124"/>
      <c r="E12" s="124"/>
      <c r="F12" s="124"/>
      <c r="G12" s="124"/>
      <c r="H12" s="124"/>
      <c r="I12" s="124"/>
      <c r="J12" s="13">
        <f>ROUND(SUM(J11:J11),2)</f>
        <v>1</v>
      </c>
      <c r="K12" s="126"/>
    </row>
    <row r="13" spans="1:11" ht="15.75" x14ac:dyDescent="0.25">
      <c r="A13" s="127"/>
      <c r="B13" s="128"/>
      <c r="C13" s="128"/>
      <c r="D13" s="128"/>
      <c r="E13" s="128"/>
      <c r="F13" s="128"/>
      <c r="G13" s="128"/>
      <c r="H13" s="128"/>
      <c r="I13" s="128"/>
      <c r="J13" s="128"/>
      <c r="K13" s="129"/>
    </row>
    <row r="14" spans="1:11" ht="15.75" x14ac:dyDescent="0.25">
      <c r="A14" s="161" t="s">
        <v>21</v>
      </c>
      <c r="B14" s="162"/>
      <c r="C14" s="162" t="s">
        <v>147</v>
      </c>
      <c r="D14" s="162"/>
      <c r="E14" s="162"/>
      <c r="F14" s="162"/>
      <c r="G14" s="162"/>
      <c r="H14" s="162"/>
      <c r="I14" s="162"/>
      <c r="J14" s="162"/>
      <c r="K14" s="163"/>
    </row>
    <row r="15" spans="1:11" ht="15.75" x14ac:dyDescent="0.25">
      <c r="A15" s="51" t="s">
        <v>3</v>
      </c>
      <c r="B15" s="59" t="s">
        <v>17</v>
      </c>
      <c r="C15" s="118" t="str">
        <f>'PLANILHA ORÇAMENTÁRIA '!C15</f>
        <v>DEMOLIÇÃO DE ALVENARIA DE BLOCO FURADO, DE FORMA MANUAL, SEM REAPROVEITAMENTO. AF_09/2023</v>
      </c>
      <c r="D15" s="119"/>
      <c r="E15" s="119"/>
      <c r="F15" s="119"/>
      <c r="G15" s="119"/>
      <c r="H15" s="119"/>
      <c r="I15" s="119"/>
      <c r="J15" s="119"/>
      <c r="K15" s="120"/>
    </row>
    <row r="16" spans="1:11" ht="15.75" x14ac:dyDescent="0.25">
      <c r="A16" s="121" t="s">
        <v>4</v>
      </c>
      <c r="B16" s="122"/>
      <c r="C16" s="59"/>
      <c r="D16" s="59" t="s">
        <v>5</v>
      </c>
      <c r="E16" s="59" t="s">
        <v>27</v>
      </c>
      <c r="F16" s="59" t="s">
        <v>30</v>
      </c>
      <c r="G16" s="59"/>
      <c r="H16" s="59"/>
      <c r="I16" s="59" t="s">
        <v>6</v>
      </c>
      <c r="J16" s="59" t="s">
        <v>154</v>
      </c>
      <c r="K16" s="11" t="s">
        <v>7</v>
      </c>
    </row>
    <row r="17" spans="1:11" ht="15.75" x14ac:dyDescent="0.25">
      <c r="A17" s="123" t="s">
        <v>348</v>
      </c>
      <c r="B17" s="124"/>
      <c r="C17" s="57" t="s">
        <v>349</v>
      </c>
      <c r="D17" s="60">
        <f>4.8+1+1+3.55</f>
        <v>10.35</v>
      </c>
      <c r="E17" s="60">
        <v>2.5</v>
      </c>
      <c r="F17" s="60">
        <v>0.15</v>
      </c>
      <c r="G17" s="57"/>
      <c r="H17" s="57"/>
      <c r="I17" s="60">
        <v>1</v>
      </c>
      <c r="J17" s="60">
        <f>ROUND(SUM(D17*I17*E17*F17),2)</f>
        <v>3.88</v>
      </c>
      <c r="K17" s="148"/>
    </row>
    <row r="18" spans="1:11" ht="15.75" x14ac:dyDescent="0.25">
      <c r="A18" s="123" t="s">
        <v>198</v>
      </c>
      <c r="B18" s="124"/>
      <c r="C18" s="57"/>
      <c r="D18" s="60">
        <v>0.8</v>
      </c>
      <c r="E18" s="60">
        <v>2.1</v>
      </c>
      <c r="F18" s="60">
        <v>0.15</v>
      </c>
      <c r="G18" s="57"/>
      <c r="H18" s="57"/>
      <c r="I18" s="60">
        <v>1</v>
      </c>
      <c r="J18" s="60">
        <f t="shared" ref="J18:J21" si="0">ROUND(SUM(D18*I18*E18*F18),2)</f>
        <v>0.25</v>
      </c>
      <c r="K18" s="148"/>
    </row>
    <row r="19" spans="1:11" ht="15.75" x14ac:dyDescent="0.25">
      <c r="A19" s="116" t="s">
        <v>350</v>
      </c>
      <c r="B19" s="117"/>
      <c r="C19" s="57"/>
      <c r="D19" s="60">
        <v>1.6</v>
      </c>
      <c r="E19" s="60">
        <v>1.1000000000000001</v>
      </c>
      <c r="F19" s="60">
        <v>0.15</v>
      </c>
      <c r="G19" s="57"/>
      <c r="H19" s="57"/>
      <c r="I19" s="60">
        <v>1</v>
      </c>
      <c r="J19" s="60">
        <f t="shared" si="0"/>
        <v>0.26</v>
      </c>
      <c r="K19" s="148"/>
    </row>
    <row r="20" spans="1:11" ht="15.75" x14ac:dyDescent="0.25">
      <c r="A20" s="116" t="s">
        <v>351</v>
      </c>
      <c r="B20" s="117"/>
      <c r="C20" s="70" t="s">
        <v>352</v>
      </c>
      <c r="D20" s="60">
        <f>0.45+0.45</f>
        <v>0.9</v>
      </c>
      <c r="E20" s="60">
        <v>2.2999999999999998</v>
      </c>
      <c r="F20" s="60">
        <v>0.15</v>
      </c>
      <c r="G20" s="70"/>
      <c r="H20" s="70"/>
      <c r="I20" s="60">
        <v>1</v>
      </c>
      <c r="J20" s="60">
        <f t="shared" si="0"/>
        <v>0.31</v>
      </c>
      <c r="K20" s="148"/>
    </row>
    <row r="21" spans="1:11" ht="15.75" x14ac:dyDescent="0.25">
      <c r="A21" s="116" t="s">
        <v>353</v>
      </c>
      <c r="B21" s="117"/>
      <c r="C21" s="70" t="s">
        <v>354</v>
      </c>
      <c r="D21" s="60">
        <f>2.25+1.95</f>
        <v>4.2</v>
      </c>
      <c r="E21" s="60">
        <v>2.5</v>
      </c>
      <c r="F21" s="60">
        <v>0.15</v>
      </c>
      <c r="G21" s="70"/>
      <c r="H21" s="70"/>
      <c r="I21" s="60">
        <v>1</v>
      </c>
      <c r="J21" s="60">
        <f t="shared" si="0"/>
        <v>1.58</v>
      </c>
      <c r="K21" s="148"/>
    </row>
    <row r="22" spans="1:11" ht="15.75" x14ac:dyDescent="0.25">
      <c r="A22" s="123" t="s">
        <v>12</v>
      </c>
      <c r="B22" s="124"/>
      <c r="C22" s="124"/>
      <c r="D22" s="124"/>
      <c r="E22" s="124"/>
      <c r="F22" s="124"/>
      <c r="G22" s="124"/>
      <c r="H22" s="124"/>
      <c r="I22" s="124"/>
      <c r="J22" s="13">
        <f>ROUND(SUM(J17:J21),2)</f>
        <v>6.28</v>
      </c>
      <c r="K22" s="148"/>
    </row>
    <row r="23" spans="1:11" ht="15.75" x14ac:dyDescent="0.25">
      <c r="A23" s="127"/>
      <c r="B23" s="128"/>
      <c r="C23" s="128"/>
      <c r="D23" s="128"/>
      <c r="E23" s="128"/>
      <c r="F23" s="128"/>
      <c r="G23" s="128"/>
      <c r="H23" s="128"/>
      <c r="I23" s="128"/>
      <c r="J23" s="128"/>
      <c r="K23" s="129"/>
    </row>
    <row r="24" spans="1:11" ht="15.75" x14ac:dyDescent="0.25">
      <c r="A24" s="51" t="s">
        <v>3</v>
      </c>
      <c r="B24" s="59" t="s">
        <v>29</v>
      </c>
      <c r="C24" s="118" t="str">
        <f>'PLANILHA ORÇAMENTÁRIA '!C16</f>
        <v>DEMOLIÇÃO MANUAL DE PISO CERÂMICO OU LADRILHO HIDRÁULICO, INCLUSIVE AFASTAMENTO E EMPILHAMENTO, EXCLUSIVE DEMOLIÇÃO DE CONTRAPISO, TRANSPORTE E RETIRADA DO MATERIAL DEMOLIDO</v>
      </c>
      <c r="D24" s="119"/>
      <c r="E24" s="119"/>
      <c r="F24" s="119"/>
      <c r="G24" s="119"/>
      <c r="H24" s="119"/>
      <c r="I24" s="119"/>
      <c r="J24" s="119"/>
      <c r="K24" s="120"/>
    </row>
    <row r="25" spans="1:11" ht="15.75" x14ac:dyDescent="0.25">
      <c r="A25" s="121" t="s">
        <v>4</v>
      </c>
      <c r="B25" s="122"/>
      <c r="C25" s="59"/>
      <c r="D25" s="59" t="s">
        <v>37</v>
      </c>
      <c r="E25" s="59"/>
      <c r="F25" s="59"/>
      <c r="G25" s="59"/>
      <c r="H25" s="59"/>
      <c r="I25" s="59" t="s">
        <v>6</v>
      </c>
      <c r="J25" s="59" t="s">
        <v>19</v>
      </c>
      <c r="K25" s="11" t="s">
        <v>7</v>
      </c>
    </row>
    <row r="26" spans="1:11" ht="15.75" x14ac:dyDescent="0.25">
      <c r="A26" s="123" t="s">
        <v>355</v>
      </c>
      <c r="B26" s="124"/>
      <c r="C26" s="57"/>
      <c r="D26" s="60">
        <v>6.21</v>
      </c>
      <c r="E26" s="60"/>
      <c r="F26" s="60"/>
      <c r="G26" s="57"/>
      <c r="H26" s="57"/>
      <c r="I26" s="60">
        <v>1</v>
      </c>
      <c r="J26" s="60">
        <f t="shared" ref="J26:J27" si="1">ROUND(SUM(D26*I26),2)</f>
        <v>6.21</v>
      </c>
      <c r="K26" s="147"/>
    </row>
    <row r="27" spans="1:11" ht="15.75" x14ac:dyDescent="0.25">
      <c r="A27" s="123" t="s">
        <v>155</v>
      </c>
      <c r="B27" s="124"/>
      <c r="C27" s="57"/>
      <c r="D27" s="60">
        <v>7.6</v>
      </c>
      <c r="E27" s="60"/>
      <c r="F27" s="60"/>
      <c r="G27" s="57"/>
      <c r="H27" s="57"/>
      <c r="I27" s="60">
        <v>1</v>
      </c>
      <c r="J27" s="60">
        <f t="shared" si="1"/>
        <v>7.6</v>
      </c>
      <c r="K27" s="147"/>
    </row>
    <row r="28" spans="1:11" ht="15.75" x14ac:dyDescent="0.25">
      <c r="A28" s="123" t="s">
        <v>12</v>
      </c>
      <c r="B28" s="124"/>
      <c r="C28" s="124"/>
      <c r="D28" s="124"/>
      <c r="E28" s="124"/>
      <c r="F28" s="124"/>
      <c r="G28" s="124"/>
      <c r="H28" s="124"/>
      <c r="I28" s="124"/>
      <c r="J28" s="13">
        <f>ROUND(SUM(J26:J27),2)</f>
        <v>13.81</v>
      </c>
      <c r="K28" s="126"/>
    </row>
    <row r="29" spans="1:11" ht="15.75" x14ac:dyDescent="0.25">
      <c r="A29" s="116"/>
      <c r="B29" s="132"/>
      <c r="C29" s="132"/>
      <c r="D29" s="132"/>
      <c r="E29" s="132"/>
      <c r="F29" s="132"/>
      <c r="G29" s="132"/>
      <c r="H29" s="132"/>
      <c r="I29" s="132"/>
      <c r="J29" s="132"/>
      <c r="K29" s="133"/>
    </row>
    <row r="30" spans="1:11" ht="15.75" x14ac:dyDescent="0.25">
      <c r="A30" s="51" t="s">
        <v>3</v>
      </c>
      <c r="B30" s="59" t="s">
        <v>33</v>
      </c>
      <c r="C30" s="118" t="str">
        <f>'PLANILHA ORÇAMENTÁRIA '!C17</f>
        <v>DEMOLIÇÃO MANUAL DE REVESTIMENTO CERÂMICO, AZULEJO OU LADRILHO HIDRÁULICO, INCLUSIVE AFASTAMENTO E EMPILHAMENTO, EXCLUSIVE DEMOLIÇÃO DO REBOCO OU EMBOÇO, TRANSPORTE E RETIRADA DO MATERIAL DEMOLIDO</v>
      </c>
      <c r="D30" s="119"/>
      <c r="E30" s="119"/>
      <c r="F30" s="119"/>
      <c r="G30" s="119"/>
      <c r="H30" s="119"/>
      <c r="I30" s="119"/>
      <c r="J30" s="119"/>
      <c r="K30" s="120"/>
    </row>
    <row r="31" spans="1:11" ht="15.75" x14ac:dyDescent="0.25">
      <c r="A31" s="121" t="s">
        <v>4</v>
      </c>
      <c r="B31" s="122"/>
      <c r="C31" s="59"/>
      <c r="D31" s="59" t="s">
        <v>5</v>
      </c>
      <c r="E31" s="59" t="s">
        <v>156</v>
      </c>
      <c r="F31" s="59"/>
      <c r="G31" s="59"/>
      <c r="H31" s="59"/>
      <c r="I31" s="59" t="s">
        <v>6</v>
      </c>
      <c r="J31" s="59" t="s">
        <v>22</v>
      </c>
      <c r="K31" s="11" t="s">
        <v>7</v>
      </c>
    </row>
    <row r="32" spans="1:11" ht="15.75" x14ac:dyDescent="0.25">
      <c r="A32" s="123" t="str">
        <f>A26</f>
        <v>W.C Feminino</v>
      </c>
      <c r="B32" s="124"/>
      <c r="C32" s="70" t="s">
        <v>356</v>
      </c>
      <c r="D32" s="60">
        <f>2.7+2.3+2.7+2.3</f>
        <v>10</v>
      </c>
      <c r="E32" s="60">
        <v>1.8</v>
      </c>
      <c r="F32" s="60"/>
      <c r="G32" s="57"/>
      <c r="H32" s="57"/>
      <c r="I32" s="60">
        <v>1</v>
      </c>
      <c r="J32" s="60">
        <f t="shared" ref="J32:J33" si="2">ROUND(SUM(D32*I32*E32),2)</f>
        <v>18</v>
      </c>
      <c r="K32" s="147"/>
    </row>
    <row r="33" spans="1:11" ht="15.75" x14ac:dyDescent="0.25">
      <c r="A33" s="123" t="str">
        <f>A27</f>
        <v xml:space="preserve">W.C Masculino </v>
      </c>
      <c r="B33" s="124"/>
      <c r="C33" s="70" t="s">
        <v>357</v>
      </c>
      <c r="D33" s="60">
        <f>2.35+3.7+2.25+1+1.1+2.7</f>
        <v>13.100000000000001</v>
      </c>
      <c r="E33" s="60">
        <v>1.8</v>
      </c>
      <c r="F33" s="60"/>
      <c r="G33" s="57"/>
      <c r="H33" s="57"/>
      <c r="I33" s="60">
        <v>1</v>
      </c>
      <c r="J33" s="60">
        <f t="shared" si="2"/>
        <v>23.58</v>
      </c>
      <c r="K33" s="147"/>
    </row>
    <row r="34" spans="1:11" ht="15.75" x14ac:dyDescent="0.25">
      <c r="A34" s="123" t="s">
        <v>12</v>
      </c>
      <c r="B34" s="124"/>
      <c r="C34" s="124"/>
      <c r="D34" s="124"/>
      <c r="E34" s="124"/>
      <c r="F34" s="124"/>
      <c r="G34" s="124"/>
      <c r="H34" s="124"/>
      <c r="I34" s="124"/>
      <c r="J34" s="13">
        <f>ROUND(SUM(J32:J33),2)</f>
        <v>41.58</v>
      </c>
      <c r="K34" s="126"/>
    </row>
    <row r="35" spans="1:11" ht="15.75" x14ac:dyDescent="0.25">
      <c r="A35" s="116"/>
      <c r="B35" s="132"/>
      <c r="C35" s="132"/>
      <c r="D35" s="132"/>
      <c r="E35" s="132"/>
      <c r="F35" s="132"/>
      <c r="G35" s="132"/>
      <c r="H35" s="132"/>
      <c r="I35" s="132"/>
      <c r="J35" s="132"/>
      <c r="K35" s="133"/>
    </row>
    <row r="36" spans="1:11" ht="15.75" x14ac:dyDescent="0.25">
      <c r="A36" s="51" t="s">
        <v>3</v>
      </c>
      <c r="B36" s="59" t="s">
        <v>34</v>
      </c>
      <c r="C36" s="118" t="str">
        <f>'PLANILHA ORÇAMENTÁRIA '!C18</f>
        <v>REMOÇÃO DE LOUÇAS (LAVATÓRIO, BANHEIRA, PIA, VASO SANITÁRIO, TANQUE), COM REAPROVEITAMENTO, INCLUSIVE AFASTAMENTO E EMPILHAMENTO, EXCLUSIVE TRANSPORTE E RETIRADA DO MATERIAL REMOVIDO NÃO REAPROVEITÁVEL</v>
      </c>
      <c r="D36" s="119"/>
      <c r="E36" s="119"/>
      <c r="F36" s="119"/>
      <c r="G36" s="119"/>
      <c r="H36" s="119"/>
      <c r="I36" s="119"/>
      <c r="J36" s="119"/>
      <c r="K36" s="120"/>
    </row>
    <row r="37" spans="1:11" ht="15.75" x14ac:dyDescent="0.25">
      <c r="A37" s="121" t="s">
        <v>4</v>
      </c>
      <c r="B37" s="122"/>
      <c r="C37" s="59"/>
      <c r="D37" s="59" t="s">
        <v>158</v>
      </c>
      <c r="E37" s="59"/>
      <c r="F37" s="59"/>
      <c r="G37" s="59"/>
      <c r="H37" s="59"/>
      <c r="I37" s="59" t="s">
        <v>6</v>
      </c>
      <c r="J37" s="59" t="s">
        <v>159</v>
      </c>
      <c r="K37" s="11" t="s">
        <v>7</v>
      </c>
    </row>
    <row r="38" spans="1:11" ht="15.75" x14ac:dyDescent="0.25">
      <c r="A38" s="123" t="s">
        <v>157</v>
      </c>
      <c r="B38" s="124"/>
      <c r="C38" s="57"/>
      <c r="D38" s="60">
        <v>5</v>
      </c>
      <c r="E38" s="60"/>
      <c r="F38" s="60"/>
      <c r="G38" s="57"/>
      <c r="H38" s="57"/>
      <c r="I38" s="60">
        <v>1</v>
      </c>
      <c r="J38" s="60">
        <f>ROUND(SUM(D38*I38),2)</f>
        <v>5</v>
      </c>
      <c r="K38" s="125"/>
    </row>
    <row r="39" spans="1:11" ht="15.75" x14ac:dyDescent="0.25">
      <c r="A39" s="123" t="s">
        <v>199</v>
      </c>
      <c r="B39" s="124"/>
      <c r="C39" s="57"/>
      <c r="D39" s="60">
        <v>4</v>
      </c>
      <c r="E39" s="60"/>
      <c r="F39" s="60"/>
      <c r="G39" s="57"/>
      <c r="H39" s="57"/>
      <c r="I39" s="60">
        <v>1</v>
      </c>
      <c r="J39" s="60">
        <f t="shared" ref="J39" si="3">ROUND(SUM(D39*I39),2)</f>
        <v>4</v>
      </c>
      <c r="K39" s="125"/>
    </row>
    <row r="40" spans="1:11" ht="15.75" x14ac:dyDescent="0.25">
      <c r="A40" s="123" t="s">
        <v>12</v>
      </c>
      <c r="B40" s="124"/>
      <c r="C40" s="124"/>
      <c r="D40" s="124"/>
      <c r="E40" s="124"/>
      <c r="F40" s="124"/>
      <c r="G40" s="124"/>
      <c r="H40" s="124"/>
      <c r="I40" s="124"/>
      <c r="J40" s="13">
        <f>ROUND(SUM(J38:J39),2)</f>
        <v>9</v>
      </c>
      <c r="K40" s="126"/>
    </row>
    <row r="41" spans="1:11" ht="15.75" x14ac:dyDescent="0.25">
      <c r="A41" s="127"/>
      <c r="B41" s="128"/>
      <c r="C41" s="128"/>
      <c r="D41" s="128"/>
      <c r="E41" s="128"/>
      <c r="F41" s="128"/>
      <c r="G41" s="128"/>
      <c r="H41" s="128"/>
      <c r="I41" s="128"/>
      <c r="J41" s="128"/>
      <c r="K41" s="129"/>
    </row>
    <row r="42" spans="1:11" ht="15.75" x14ac:dyDescent="0.25">
      <c r="A42" s="51" t="s">
        <v>3</v>
      </c>
      <c r="B42" s="59" t="s">
        <v>35</v>
      </c>
      <c r="C42" s="118" t="str">
        <f>'PLANILHA ORÇAMENTÁRIA '!C19</f>
        <v>REMOÇÃO MANUAL DE FOLHA DE PORTA OU JANELA DE MADEIRA OU METÁLICA, COM REAPROVEITAMENTO, INCLUSIVE AFASTAMENTO E EMPILHAMENTO, EXCLUSIVE TRANSPORTE E RETIRADA DO MATERIAL REMOVIDO NÃO REAPROVEITÁVEL</v>
      </c>
      <c r="D42" s="119"/>
      <c r="E42" s="119"/>
      <c r="F42" s="119"/>
      <c r="G42" s="119"/>
      <c r="H42" s="119"/>
      <c r="I42" s="119"/>
      <c r="J42" s="119"/>
      <c r="K42" s="120"/>
    </row>
    <row r="43" spans="1:11" ht="15.75" x14ac:dyDescent="0.25">
      <c r="A43" s="121" t="s">
        <v>4</v>
      </c>
      <c r="B43" s="122"/>
      <c r="C43" s="59"/>
      <c r="D43" s="59" t="s">
        <v>5</v>
      </c>
      <c r="E43" s="59" t="s">
        <v>27</v>
      </c>
      <c r="F43" s="59"/>
      <c r="G43" s="59"/>
      <c r="H43" s="59"/>
      <c r="I43" s="59" t="s">
        <v>6</v>
      </c>
      <c r="J43" s="59" t="s">
        <v>19</v>
      </c>
      <c r="K43" s="11" t="s">
        <v>7</v>
      </c>
    </row>
    <row r="44" spans="1:11" ht="15.75" x14ac:dyDescent="0.25">
      <c r="A44" s="123" t="s">
        <v>53</v>
      </c>
      <c r="B44" s="124"/>
      <c r="C44" s="57"/>
      <c r="D44" s="60">
        <v>0.9</v>
      </c>
      <c r="E44" s="60">
        <v>2.1</v>
      </c>
      <c r="F44" s="60"/>
      <c r="G44" s="57"/>
      <c r="H44" s="57"/>
      <c r="I44" s="60">
        <v>2</v>
      </c>
      <c r="J44" s="60">
        <f t="shared" ref="J44:J48" si="4">ROUND(SUM(D44*I44*E44),2)</f>
        <v>3.78</v>
      </c>
      <c r="K44" s="147"/>
    </row>
    <row r="45" spans="1:11" ht="15.75" x14ac:dyDescent="0.25">
      <c r="A45" s="123" t="s">
        <v>41</v>
      </c>
      <c r="B45" s="124"/>
      <c r="C45" s="70"/>
      <c r="D45" s="60">
        <v>0.8</v>
      </c>
      <c r="E45" s="60">
        <v>2.1</v>
      </c>
      <c r="F45" s="60"/>
      <c r="G45" s="70"/>
      <c r="H45" s="70"/>
      <c r="I45" s="60">
        <v>2</v>
      </c>
      <c r="J45" s="80">
        <f t="shared" si="4"/>
        <v>3.36</v>
      </c>
      <c r="K45" s="147"/>
    </row>
    <row r="46" spans="1:11" ht="15.75" x14ac:dyDescent="0.25">
      <c r="A46" s="116" t="s">
        <v>358</v>
      </c>
      <c r="B46" s="117"/>
      <c r="C46" s="70"/>
      <c r="D46" s="60">
        <v>0.6</v>
      </c>
      <c r="E46" s="60">
        <v>2.1</v>
      </c>
      <c r="F46" s="60"/>
      <c r="G46" s="70"/>
      <c r="H46" s="70"/>
      <c r="I46" s="60">
        <v>3</v>
      </c>
      <c r="J46" s="80">
        <f t="shared" si="4"/>
        <v>3.78</v>
      </c>
      <c r="K46" s="147"/>
    </row>
    <row r="47" spans="1:11" ht="15.75" x14ac:dyDescent="0.25">
      <c r="A47" s="116" t="s">
        <v>359</v>
      </c>
      <c r="B47" s="117"/>
      <c r="C47" s="70"/>
      <c r="D47" s="60">
        <v>0.6</v>
      </c>
      <c r="E47" s="60">
        <v>1.8</v>
      </c>
      <c r="F47" s="60"/>
      <c r="G47" s="70"/>
      <c r="H47" s="70"/>
      <c r="I47" s="60">
        <v>5</v>
      </c>
      <c r="J47" s="80">
        <f t="shared" si="4"/>
        <v>5.4</v>
      </c>
      <c r="K47" s="147"/>
    </row>
    <row r="48" spans="1:11" ht="15.75" x14ac:dyDescent="0.25">
      <c r="A48" s="116" t="s">
        <v>360</v>
      </c>
      <c r="B48" s="117"/>
      <c r="C48" s="70"/>
      <c r="D48" s="60">
        <v>1.6</v>
      </c>
      <c r="E48" s="60">
        <v>2.2999999999999998</v>
      </c>
      <c r="F48" s="60"/>
      <c r="G48" s="70"/>
      <c r="H48" s="80"/>
      <c r="I48" s="60">
        <v>1</v>
      </c>
      <c r="J48" s="80">
        <f t="shared" si="4"/>
        <v>3.68</v>
      </c>
      <c r="K48" s="147"/>
    </row>
    <row r="49" spans="1:11" ht="15.75" x14ac:dyDescent="0.25">
      <c r="A49" s="123" t="s">
        <v>12</v>
      </c>
      <c r="B49" s="124"/>
      <c r="C49" s="124"/>
      <c r="D49" s="124"/>
      <c r="E49" s="124"/>
      <c r="F49" s="124"/>
      <c r="G49" s="124"/>
      <c r="H49" s="124"/>
      <c r="I49" s="124"/>
      <c r="J49" s="13">
        <f>ROUND(SUM(J44:J48),2)</f>
        <v>20</v>
      </c>
      <c r="K49" s="126"/>
    </row>
    <row r="50" spans="1:11" ht="15.75" x14ac:dyDescent="0.25">
      <c r="A50" s="116"/>
      <c r="B50" s="132"/>
      <c r="C50" s="132"/>
      <c r="D50" s="132"/>
      <c r="E50" s="132"/>
      <c r="F50" s="132"/>
      <c r="G50" s="132"/>
      <c r="H50" s="132"/>
      <c r="I50" s="132"/>
      <c r="J50" s="132"/>
      <c r="K50" s="133"/>
    </row>
    <row r="51" spans="1:11" ht="15.75" x14ac:dyDescent="0.25">
      <c r="A51" s="51" t="s">
        <v>3</v>
      </c>
      <c r="B51" s="59" t="s">
        <v>47</v>
      </c>
      <c r="C51" s="118" t="str">
        <f>'PLANILHA ORÇAMENTÁRIA '!C20</f>
        <v>DEMOLIÇÃO DE PISO DE CONCRETO SIMPLES, DE FORMA MECANIZADA COM MARTELETE, SEM REAPROVEITAMENTO. AF_09/2023</v>
      </c>
      <c r="D51" s="119"/>
      <c r="E51" s="119"/>
      <c r="F51" s="119"/>
      <c r="G51" s="119"/>
      <c r="H51" s="119"/>
      <c r="I51" s="119"/>
      <c r="J51" s="119"/>
      <c r="K51" s="120"/>
    </row>
    <row r="52" spans="1:11" ht="15.75" x14ac:dyDescent="0.25">
      <c r="A52" s="121" t="s">
        <v>4</v>
      </c>
      <c r="B52" s="122"/>
      <c r="C52" s="59"/>
      <c r="D52" s="59" t="s">
        <v>37</v>
      </c>
      <c r="E52" s="59" t="s">
        <v>30</v>
      </c>
      <c r="F52" s="59"/>
      <c r="G52" s="59"/>
      <c r="H52" s="59"/>
      <c r="I52" s="59" t="s">
        <v>6</v>
      </c>
      <c r="J52" s="59" t="s">
        <v>31</v>
      </c>
      <c r="K52" s="11" t="s">
        <v>7</v>
      </c>
    </row>
    <row r="53" spans="1:11" ht="15.75" x14ac:dyDescent="0.25">
      <c r="A53" s="123" t="s">
        <v>200</v>
      </c>
      <c r="B53" s="124"/>
      <c r="C53" s="57" t="s">
        <v>418</v>
      </c>
      <c r="D53" s="60">
        <f>6.21+7.6</f>
        <v>13.809999999999999</v>
      </c>
      <c r="E53" s="60">
        <v>0.1</v>
      </c>
      <c r="F53" s="60"/>
      <c r="G53" s="57"/>
      <c r="H53" s="57"/>
      <c r="I53" s="60">
        <v>1</v>
      </c>
      <c r="J53" s="60">
        <f>ROUND(SUM(D53*I53*E53),2)</f>
        <v>1.38</v>
      </c>
      <c r="K53" s="125"/>
    </row>
    <row r="54" spans="1:11" ht="15.75" x14ac:dyDescent="0.25">
      <c r="A54" s="123" t="s">
        <v>12</v>
      </c>
      <c r="B54" s="124"/>
      <c r="C54" s="124"/>
      <c r="D54" s="124"/>
      <c r="E54" s="124"/>
      <c r="F54" s="124"/>
      <c r="G54" s="124"/>
      <c r="H54" s="124"/>
      <c r="I54" s="124"/>
      <c r="J54" s="13">
        <f>ROUND(SUM(J53:J53),2)</f>
        <v>1.38</v>
      </c>
      <c r="K54" s="126"/>
    </row>
    <row r="55" spans="1:11" ht="15.75" x14ac:dyDescent="0.25">
      <c r="A55" s="127"/>
      <c r="B55" s="128"/>
      <c r="C55" s="128"/>
      <c r="D55" s="128"/>
      <c r="E55" s="128"/>
      <c r="F55" s="128"/>
      <c r="G55" s="128"/>
      <c r="H55" s="128"/>
      <c r="I55" s="128"/>
      <c r="J55" s="128"/>
      <c r="K55" s="129"/>
    </row>
    <row r="56" spans="1:11" ht="15.75" x14ac:dyDescent="0.25">
      <c r="A56" s="71" t="s">
        <v>3</v>
      </c>
      <c r="B56" s="72" t="s">
        <v>421</v>
      </c>
      <c r="C56" s="118" t="s">
        <v>415</v>
      </c>
      <c r="D56" s="119"/>
      <c r="E56" s="119"/>
      <c r="F56" s="119"/>
      <c r="G56" s="119"/>
      <c r="H56" s="119"/>
      <c r="I56" s="119"/>
      <c r="J56" s="119"/>
      <c r="K56" s="120"/>
    </row>
    <row r="57" spans="1:11" ht="15.75" x14ac:dyDescent="0.25">
      <c r="A57" s="121" t="s">
        <v>4</v>
      </c>
      <c r="B57" s="122"/>
      <c r="C57" s="72"/>
      <c r="D57" s="72" t="s">
        <v>5</v>
      </c>
      <c r="E57" s="72" t="s">
        <v>27</v>
      </c>
      <c r="F57" s="72"/>
      <c r="G57" s="72"/>
      <c r="H57" s="72"/>
      <c r="I57" s="72" t="s">
        <v>6</v>
      </c>
      <c r="J57" s="72" t="s">
        <v>19</v>
      </c>
      <c r="K57" s="11" t="s">
        <v>7</v>
      </c>
    </row>
    <row r="58" spans="1:11" ht="15.75" x14ac:dyDescent="0.25">
      <c r="A58" s="123" t="s">
        <v>417</v>
      </c>
      <c r="B58" s="124"/>
      <c r="C58" s="70" t="s">
        <v>416</v>
      </c>
      <c r="D58" s="60">
        <f>1.23*4+2.7+1.86</f>
        <v>9.48</v>
      </c>
      <c r="E58" s="60">
        <v>1.8</v>
      </c>
      <c r="F58" s="60"/>
      <c r="G58" s="70"/>
      <c r="H58" s="70"/>
      <c r="I58" s="60">
        <v>2</v>
      </c>
      <c r="J58" s="60">
        <f t="shared" ref="J58" si="5">ROUND(SUM(D58*I58*E58),2)</f>
        <v>34.130000000000003</v>
      </c>
      <c r="K58" s="125"/>
    </row>
    <row r="59" spans="1:11" ht="15.75" x14ac:dyDescent="0.25">
      <c r="A59" s="123" t="s">
        <v>12</v>
      </c>
      <c r="B59" s="124"/>
      <c r="C59" s="124"/>
      <c r="D59" s="124"/>
      <c r="E59" s="124"/>
      <c r="F59" s="124"/>
      <c r="G59" s="124"/>
      <c r="H59" s="124"/>
      <c r="I59" s="124"/>
      <c r="J59" s="13">
        <f>ROUND(SUM(J58:J58),2)</f>
        <v>34.130000000000003</v>
      </c>
      <c r="K59" s="126"/>
    </row>
    <row r="60" spans="1:11" ht="15.75" x14ac:dyDescent="0.25">
      <c r="A60" s="127"/>
      <c r="B60" s="128"/>
      <c r="C60" s="128"/>
      <c r="D60" s="128"/>
      <c r="E60" s="128"/>
      <c r="F60" s="128"/>
      <c r="G60" s="128"/>
      <c r="H60" s="128"/>
      <c r="I60" s="128"/>
      <c r="J60" s="128"/>
      <c r="K60" s="129"/>
    </row>
    <row r="61" spans="1:11" ht="15.75" x14ac:dyDescent="0.25">
      <c r="A61" s="142" t="s">
        <v>99</v>
      </c>
      <c r="B61" s="143"/>
      <c r="C61" s="144" t="s">
        <v>161</v>
      </c>
      <c r="D61" s="145"/>
      <c r="E61" s="145"/>
      <c r="F61" s="145"/>
      <c r="G61" s="145"/>
      <c r="H61" s="145"/>
      <c r="I61" s="145"/>
      <c r="J61" s="145"/>
      <c r="K61" s="146"/>
    </row>
    <row r="62" spans="1:11" ht="15.75" x14ac:dyDescent="0.25">
      <c r="A62" s="51" t="s">
        <v>3</v>
      </c>
      <c r="B62" s="59" t="s">
        <v>101</v>
      </c>
      <c r="C62" s="118" t="str">
        <f>'PLANILHA ORÇAMENTÁRIA '!C22</f>
        <v>ALVENARIA DE VEDAÇÃO DE BLOCOS CERÂMICOS FURADOS NA HORIZONTAL DE 9X19X29 CM (ESPESSURA 9 CM) E ARGAMASSA DE ASSENTAMENTO COM PREPARO EM BETONEIRA. AF_12/2021</v>
      </c>
      <c r="D62" s="119"/>
      <c r="E62" s="119"/>
      <c r="F62" s="119"/>
      <c r="G62" s="119"/>
      <c r="H62" s="119"/>
      <c r="I62" s="119"/>
      <c r="J62" s="119"/>
      <c r="K62" s="120"/>
    </row>
    <row r="63" spans="1:11" ht="15.75" x14ac:dyDescent="0.25">
      <c r="A63" s="121" t="s">
        <v>4</v>
      </c>
      <c r="B63" s="122"/>
      <c r="C63" s="59"/>
      <c r="D63" s="59" t="s">
        <v>5</v>
      </c>
      <c r="E63" s="59" t="s">
        <v>27</v>
      </c>
      <c r="F63" s="59"/>
      <c r="G63" s="59"/>
      <c r="H63" s="59"/>
      <c r="I63" s="59" t="s">
        <v>6</v>
      </c>
      <c r="J63" s="59" t="s">
        <v>19</v>
      </c>
      <c r="K63" s="11" t="s">
        <v>7</v>
      </c>
    </row>
    <row r="64" spans="1:11" ht="15.75" x14ac:dyDescent="0.25">
      <c r="A64" s="123" t="s">
        <v>419</v>
      </c>
      <c r="B64" s="124"/>
      <c r="C64" s="57" t="s">
        <v>362</v>
      </c>
      <c r="D64" s="60">
        <f>2.35+2.3</f>
        <v>4.6500000000000004</v>
      </c>
      <c r="E64" s="60">
        <v>2.5</v>
      </c>
      <c r="F64" s="60"/>
      <c r="G64" s="57"/>
      <c r="H64" s="57"/>
      <c r="I64" s="60">
        <v>1</v>
      </c>
      <c r="J64" s="60">
        <f>ROUND(SUM(D64*I64*E64),2)</f>
        <v>11.63</v>
      </c>
      <c r="K64" s="147"/>
    </row>
    <row r="65" spans="1:11" ht="15.75" x14ac:dyDescent="0.25">
      <c r="A65" s="123" t="s">
        <v>201</v>
      </c>
      <c r="B65" s="124"/>
      <c r="C65" s="57" t="s">
        <v>361</v>
      </c>
      <c r="D65" s="60">
        <f>0.9+0.9+0.8</f>
        <v>2.6</v>
      </c>
      <c r="E65" s="60">
        <v>2.1</v>
      </c>
      <c r="F65" s="60"/>
      <c r="G65" s="57"/>
      <c r="H65" s="57"/>
      <c r="I65" s="60">
        <v>1</v>
      </c>
      <c r="J65" s="60">
        <f t="shared" ref="J65:J66" si="6">ROUND(SUM(D65*I65*E65),2)</f>
        <v>5.46</v>
      </c>
      <c r="K65" s="147"/>
    </row>
    <row r="66" spans="1:11" ht="15.75" x14ac:dyDescent="0.25">
      <c r="A66" s="116" t="s">
        <v>363</v>
      </c>
      <c r="B66" s="117"/>
      <c r="C66" s="70"/>
      <c r="D66" s="60">
        <v>8.07</v>
      </c>
      <c r="E66" s="60">
        <v>0.4</v>
      </c>
      <c r="F66" s="60"/>
      <c r="G66" s="70"/>
      <c r="H66" s="70"/>
      <c r="I66" s="60">
        <v>1</v>
      </c>
      <c r="J66" s="60">
        <f t="shared" si="6"/>
        <v>3.23</v>
      </c>
      <c r="K66" s="147"/>
    </row>
    <row r="67" spans="1:11" ht="15.75" x14ac:dyDescent="0.25">
      <c r="A67" s="123" t="s">
        <v>12</v>
      </c>
      <c r="B67" s="124"/>
      <c r="C67" s="124"/>
      <c r="D67" s="124"/>
      <c r="E67" s="124"/>
      <c r="F67" s="124"/>
      <c r="G67" s="124"/>
      <c r="H67" s="124"/>
      <c r="I67" s="124"/>
      <c r="J67" s="13">
        <f>ROUND(SUM(J64:J66),2)</f>
        <v>20.32</v>
      </c>
      <c r="K67" s="126"/>
    </row>
    <row r="68" spans="1:11" ht="15.75" x14ac:dyDescent="0.25">
      <c r="A68" s="116"/>
      <c r="B68" s="132"/>
      <c r="C68" s="132"/>
      <c r="D68" s="132"/>
      <c r="E68" s="132"/>
      <c r="F68" s="132"/>
      <c r="G68" s="132"/>
      <c r="H68" s="132"/>
      <c r="I68" s="132"/>
      <c r="J68" s="132"/>
      <c r="K68" s="133"/>
    </row>
    <row r="69" spans="1:11" ht="15.75" x14ac:dyDescent="0.25">
      <c r="A69" s="51" t="s">
        <v>3</v>
      </c>
      <c r="B69" s="59" t="s">
        <v>102</v>
      </c>
      <c r="C69" s="118" t="str">
        <f>'PLANILHA ORÇAMENTÁRIA '!C23</f>
        <v>PAREDE COM SISTEMA EM CHAPAS DE GESSO PARA DRYWALL, USO INTERNO, COM DUAS FACES SIMPLES E ESTRUTURA METÁLICA COM GUIAS DUPLAS, SEM VÃOS. AF_07/2023_PS</v>
      </c>
      <c r="D69" s="119"/>
      <c r="E69" s="119"/>
      <c r="F69" s="119"/>
      <c r="G69" s="119"/>
      <c r="H69" s="119"/>
      <c r="I69" s="119"/>
      <c r="J69" s="119"/>
      <c r="K69" s="120"/>
    </row>
    <row r="70" spans="1:11" ht="15.75" x14ac:dyDescent="0.25">
      <c r="A70" s="121" t="s">
        <v>4</v>
      </c>
      <c r="B70" s="122"/>
      <c r="C70" s="59"/>
      <c r="D70" s="59" t="s">
        <v>5</v>
      </c>
      <c r="E70" s="59" t="s">
        <v>27</v>
      </c>
      <c r="F70" s="59"/>
      <c r="G70" s="59"/>
      <c r="H70" s="59"/>
      <c r="I70" s="59" t="s">
        <v>6</v>
      </c>
      <c r="J70" s="59" t="s">
        <v>19</v>
      </c>
      <c r="K70" s="11" t="s">
        <v>7</v>
      </c>
    </row>
    <row r="71" spans="1:11" ht="31.5" x14ac:dyDescent="0.25">
      <c r="A71" s="123" t="s">
        <v>202</v>
      </c>
      <c r="B71" s="124"/>
      <c r="C71" s="57" t="s">
        <v>364</v>
      </c>
      <c r="D71" s="60">
        <f>1.5+1.86+4.16+1.2+3.14+4.3+0.6+5.4+6.76+4.06+2.06+1.24</f>
        <v>36.280000000000008</v>
      </c>
      <c r="E71" s="60">
        <v>2.7</v>
      </c>
      <c r="F71" s="60"/>
      <c r="G71" s="57"/>
      <c r="H71" s="57"/>
      <c r="I71" s="60">
        <v>1</v>
      </c>
      <c r="J71" s="60">
        <f>ROUND(SUM(D71*I71*E71),2)</f>
        <v>97.96</v>
      </c>
      <c r="K71" s="126" t="s">
        <v>214</v>
      </c>
    </row>
    <row r="72" spans="1:11" ht="15.75" x14ac:dyDescent="0.25">
      <c r="A72" s="123" t="s">
        <v>12</v>
      </c>
      <c r="B72" s="124"/>
      <c r="C72" s="124"/>
      <c r="D72" s="124"/>
      <c r="E72" s="124"/>
      <c r="F72" s="124"/>
      <c r="G72" s="124"/>
      <c r="H72" s="124"/>
      <c r="I72" s="124"/>
      <c r="J72" s="13">
        <f>ROUND(SUM(J71:J71),2)</f>
        <v>97.96</v>
      </c>
      <c r="K72" s="126"/>
    </row>
    <row r="73" spans="1:11" ht="15.75" x14ac:dyDescent="0.25">
      <c r="A73" s="116"/>
      <c r="B73" s="132"/>
      <c r="C73" s="132"/>
      <c r="D73" s="132"/>
      <c r="E73" s="132"/>
      <c r="F73" s="132"/>
      <c r="G73" s="132"/>
      <c r="H73" s="132"/>
      <c r="I73" s="132"/>
      <c r="J73" s="132"/>
      <c r="K73" s="133"/>
    </row>
    <row r="74" spans="1:11" ht="15.75" x14ac:dyDescent="0.25">
      <c r="A74" s="51" t="s">
        <v>3</v>
      </c>
      <c r="B74" s="59" t="s">
        <v>103</v>
      </c>
      <c r="C74" s="118" t="str">
        <f>'PLANILHA ORÇAMENTÁRIA '!C24</f>
        <v>CHAPISCO APLICADO EM ALVENARIA (COM PRESENÇA DE VÃOS) E ESTRUTURAS DE CONCRETO DE FACHADA, COM COLHER DE PEDREIRO. ARGAMASSA TRAÇO 1:3 COM PREPARO EM BETONEIRA 400L. AF_10/2022</v>
      </c>
      <c r="D74" s="119"/>
      <c r="E74" s="119"/>
      <c r="F74" s="119"/>
      <c r="G74" s="119"/>
      <c r="H74" s="119"/>
      <c r="I74" s="119"/>
      <c r="J74" s="119"/>
      <c r="K74" s="120"/>
    </row>
    <row r="75" spans="1:11" ht="15.75" x14ac:dyDescent="0.25">
      <c r="A75" s="121" t="s">
        <v>4</v>
      </c>
      <c r="B75" s="122"/>
      <c r="C75" s="59"/>
      <c r="D75" s="59" t="s">
        <v>37</v>
      </c>
      <c r="E75" s="59" t="s">
        <v>28</v>
      </c>
      <c r="F75" s="59"/>
      <c r="G75" s="59"/>
      <c r="H75" s="59"/>
      <c r="I75" s="59" t="s">
        <v>6</v>
      </c>
      <c r="J75" s="59" t="s">
        <v>19</v>
      </c>
      <c r="K75" s="11" t="s">
        <v>7</v>
      </c>
    </row>
    <row r="76" spans="1:11" ht="15.75" x14ac:dyDescent="0.25">
      <c r="A76" s="123" t="s">
        <v>162</v>
      </c>
      <c r="B76" s="124"/>
      <c r="C76" s="57"/>
      <c r="D76" s="60">
        <f>J67</f>
        <v>20.32</v>
      </c>
      <c r="E76" s="60">
        <v>2</v>
      </c>
      <c r="F76" s="60"/>
      <c r="G76" s="57"/>
      <c r="H76" s="57"/>
      <c r="I76" s="60">
        <v>1</v>
      </c>
      <c r="J76" s="60">
        <f>ROUND(SUM(D76*I76*E76),2)</f>
        <v>40.64</v>
      </c>
      <c r="K76" s="147"/>
    </row>
    <row r="77" spans="1:11" ht="15.75" x14ac:dyDescent="0.25">
      <c r="A77" s="123" t="s">
        <v>12</v>
      </c>
      <c r="B77" s="124"/>
      <c r="C77" s="124"/>
      <c r="D77" s="124"/>
      <c r="E77" s="124"/>
      <c r="F77" s="124"/>
      <c r="G77" s="124"/>
      <c r="H77" s="124"/>
      <c r="I77" s="124"/>
      <c r="J77" s="13">
        <f>ROUND(SUM(J76:J76),2)</f>
        <v>40.64</v>
      </c>
      <c r="K77" s="126"/>
    </row>
    <row r="78" spans="1:11" ht="15.75" x14ac:dyDescent="0.25">
      <c r="A78" s="116"/>
      <c r="B78" s="132"/>
      <c r="C78" s="132"/>
      <c r="D78" s="132"/>
      <c r="E78" s="132"/>
      <c r="F78" s="132"/>
      <c r="G78" s="132"/>
      <c r="H78" s="132"/>
      <c r="I78" s="132"/>
      <c r="J78" s="132"/>
      <c r="K78" s="133"/>
    </row>
    <row r="79" spans="1:11" ht="15.75" x14ac:dyDescent="0.25">
      <c r="A79" s="51" t="s">
        <v>3</v>
      </c>
      <c r="B79" s="59" t="s">
        <v>104</v>
      </c>
      <c r="C79" s="118" t="str">
        <f>'PLANILHA ORÇAMENTÁRIA '!C25</f>
        <v>REBOCO COM ARGAMASSA, TRAÇO 1:2:8 (CIMENTO, CAL E AREIA), ESP. 20MM, APLICAÇÃO MANUAL, INCLUSIVE ARGAMASSA COM PREPARO MECANIZADO, EXCLUSIVE CHAPISCO</v>
      </c>
      <c r="D79" s="119"/>
      <c r="E79" s="119"/>
      <c r="F79" s="119"/>
      <c r="G79" s="119"/>
      <c r="H79" s="119"/>
      <c r="I79" s="119"/>
      <c r="J79" s="119"/>
      <c r="K79" s="120"/>
    </row>
    <row r="80" spans="1:11" ht="15.75" x14ac:dyDescent="0.25">
      <c r="A80" s="121" t="s">
        <v>4</v>
      </c>
      <c r="B80" s="122"/>
      <c r="C80" s="59"/>
      <c r="D80" s="59" t="s">
        <v>37</v>
      </c>
      <c r="E80" s="59" t="s">
        <v>28</v>
      </c>
      <c r="F80" s="59"/>
      <c r="G80" s="59"/>
      <c r="H80" s="59"/>
      <c r="I80" s="59" t="s">
        <v>6</v>
      </c>
      <c r="J80" s="59" t="s">
        <v>19</v>
      </c>
      <c r="K80" s="11" t="s">
        <v>7</v>
      </c>
    </row>
    <row r="81" spans="1:11" ht="15.75" x14ac:dyDescent="0.25">
      <c r="A81" s="123" t="s">
        <v>162</v>
      </c>
      <c r="B81" s="124"/>
      <c r="C81" s="57"/>
      <c r="D81" s="60">
        <f>D76</f>
        <v>20.32</v>
      </c>
      <c r="E81" s="60">
        <v>2</v>
      </c>
      <c r="F81" s="60"/>
      <c r="G81" s="57"/>
      <c r="H81" s="57"/>
      <c r="I81" s="60">
        <v>1</v>
      </c>
      <c r="J81" s="60">
        <f>ROUND(SUM(D81*I81*E81),2)</f>
        <v>40.64</v>
      </c>
      <c r="K81" s="125"/>
    </row>
    <row r="82" spans="1:11" ht="15.75" x14ac:dyDescent="0.25">
      <c r="A82" s="123" t="s">
        <v>12</v>
      </c>
      <c r="B82" s="124"/>
      <c r="C82" s="124"/>
      <c r="D82" s="124"/>
      <c r="E82" s="124"/>
      <c r="F82" s="124"/>
      <c r="G82" s="124"/>
      <c r="H82" s="124"/>
      <c r="I82" s="124"/>
      <c r="J82" s="13">
        <f>ROUND(SUM(J81:J81),2)</f>
        <v>40.64</v>
      </c>
      <c r="K82" s="126"/>
    </row>
    <row r="83" spans="1:11" ht="15.75" x14ac:dyDescent="0.25">
      <c r="A83" s="127"/>
      <c r="B83" s="128"/>
      <c r="C83" s="128"/>
      <c r="D83" s="128"/>
      <c r="E83" s="128"/>
      <c r="F83" s="128"/>
      <c r="G83" s="128"/>
      <c r="H83" s="128"/>
      <c r="I83" s="128"/>
      <c r="J83" s="128"/>
      <c r="K83" s="129"/>
    </row>
    <row r="84" spans="1:11" ht="15.75" x14ac:dyDescent="0.25">
      <c r="A84" s="51" t="s">
        <v>3</v>
      </c>
      <c r="B84" s="59" t="s">
        <v>105</v>
      </c>
      <c r="C84" s="118" t="str">
        <f>'PLANILHA ORÇAMENTÁRIA '!C26</f>
        <v>VERGA MOLDADA IN LOCO EM CONCRETO, ESPESSURA DE *10* CM. AF_03/2024</v>
      </c>
      <c r="D84" s="119"/>
      <c r="E84" s="119"/>
      <c r="F84" s="119"/>
      <c r="G84" s="119"/>
      <c r="H84" s="119"/>
      <c r="I84" s="119"/>
      <c r="J84" s="119"/>
      <c r="K84" s="120"/>
    </row>
    <row r="85" spans="1:11" ht="34.5" customHeight="1" x14ac:dyDescent="0.25">
      <c r="A85" s="121" t="s">
        <v>4</v>
      </c>
      <c r="B85" s="122"/>
      <c r="C85" s="59"/>
      <c r="D85" s="59" t="s">
        <v>203</v>
      </c>
      <c r="E85" s="59"/>
      <c r="F85" s="59"/>
      <c r="G85" s="59"/>
      <c r="H85" s="59"/>
      <c r="I85" s="59" t="s">
        <v>6</v>
      </c>
      <c r="J85" s="59" t="s">
        <v>5</v>
      </c>
      <c r="K85" s="11" t="s">
        <v>7</v>
      </c>
    </row>
    <row r="86" spans="1:11" ht="15.75" x14ac:dyDescent="0.25">
      <c r="A86" s="123" t="s">
        <v>165</v>
      </c>
      <c r="B86" s="124"/>
      <c r="C86" s="58"/>
      <c r="D86" s="60">
        <f>0.3+0.3+0.9</f>
        <v>1.5</v>
      </c>
      <c r="E86" s="60"/>
      <c r="F86" s="60"/>
      <c r="G86" s="57"/>
      <c r="H86" s="57"/>
      <c r="I86" s="60">
        <v>2</v>
      </c>
      <c r="J86" s="60">
        <f>ROUND(SUM(D86*I86),2)</f>
        <v>3</v>
      </c>
      <c r="K86" s="125" t="s">
        <v>163</v>
      </c>
    </row>
    <row r="87" spans="1:11" ht="15.75" x14ac:dyDescent="0.25">
      <c r="A87" s="123" t="s">
        <v>12</v>
      </c>
      <c r="B87" s="124"/>
      <c r="C87" s="124"/>
      <c r="D87" s="124"/>
      <c r="E87" s="124"/>
      <c r="F87" s="124"/>
      <c r="G87" s="124"/>
      <c r="H87" s="124"/>
      <c r="I87" s="124"/>
      <c r="J87" s="13">
        <f>ROUND(SUM(J86:J86),2)</f>
        <v>3</v>
      </c>
      <c r="K87" s="126"/>
    </row>
    <row r="88" spans="1:11" ht="15.75" x14ac:dyDescent="0.25">
      <c r="A88" s="127"/>
      <c r="B88" s="128"/>
      <c r="C88" s="128"/>
      <c r="D88" s="128"/>
      <c r="E88" s="128"/>
      <c r="F88" s="128"/>
      <c r="G88" s="128"/>
      <c r="H88" s="128"/>
      <c r="I88" s="128"/>
      <c r="J88" s="128"/>
      <c r="K88" s="129"/>
    </row>
    <row r="89" spans="1:11" ht="15.75" x14ac:dyDescent="0.25">
      <c r="A89" s="142" t="s">
        <v>49</v>
      </c>
      <c r="B89" s="143"/>
      <c r="C89" s="144" t="s">
        <v>160</v>
      </c>
      <c r="D89" s="145"/>
      <c r="E89" s="145"/>
      <c r="F89" s="145"/>
      <c r="G89" s="145"/>
      <c r="H89" s="145"/>
      <c r="I89" s="145"/>
      <c r="J89" s="145"/>
      <c r="K89" s="146"/>
    </row>
    <row r="90" spans="1:11" ht="15.75" x14ac:dyDescent="0.25">
      <c r="A90" s="51" t="s">
        <v>3</v>
      </c>
      <c r="B90" s="59" t="s">
        <v>50</v>
      </c>
      <c r="C90" s="118" t="str">
        <f>'PLANILHA ORÇAMENTÁRIA '!C28</f>
        <v>FORRO EM PLACA DE GESSO LISO, DIMENSÃO (60X60)CM, COM FIXAÇÃO DO TIPO ARAMADO, EXCLUSIVE PERFIL TABICA, SANCA E MOLDURA, INCLUSIVE ACESSÓRIOS E FIXAÇÃO</v>
      </c>
      <c r="D90" s="119"/>
      <c r="E90" s="119"/>
      <c r="F90" s="119"/>
      <c r="G90" s="119"/>
      <c r="H90" s="119"/>
      <c r="I90" s="119"/>
      <c r="J90" s="119"/>
      <c r="K90" s="120"/>
    </row>
    <row r="91" spans="1:11" ht="15.75" x14ac:dyDescent="0.25">
      <c r="A91" s="121" t="s">
        <v>4</v>
      </c>
      <c r="B91" s="122"/>
      <c r="C91" s="59"/>
      <c r="D91" s="59" t="s">
        <v>37</v>
      </c>
      <c r="E91" s="59"/>
      <c r="F91" s="59"/>
      <c r="G91" s="59"/>
      <c r="H91" s="59"/>
      <c r="I91" s="59" t="s">
        <v>6</v>
      </c>
      <c r="J91" s="59" t="s">
        <v>19</v>
      </c>
      <c r="K91" s="11" t="s">
        <v>7</v>
      </c>
    </row>
    <row r="92" spans="1:11" ht="15.75" x14ac:dyDescent="0.25">
      <c r="A92" s="123" t="s">
        <v>204</v>
      </c>
      <c r="B92" s="124"/>
      <c r="C92" s="57"/>
      <c r="D92" s="60">
        <v>13.23</v>
      </c>
      <c r="E92" s="60"/>
      <c r="F92" s="60"/>
      <c r="G92" s="57"/>
      <c r="H92" s="57"/>
      <c r="I92" s="60">
        <v>1</v>
      </c>
      <c r="J92" s="60">
        <f>ROUND(SUM(D92*I92),2)</f>
        <v>13.23</v>
      </c>
      <c r="K92" s="147"/>
    </row>
    <row r="93" spans="1:11" ht="15.75" x14ac:dyDescent="0.25">
      <c r="A93" s="116" t="s">
        <v>205</v>
      </c>
      <c r="B93" s="117"/>
      <c r="C93" s="57"/>
      <c r="D93" s="60">
        <v>2.8</v>
      </c>
      <c r="E93" s="60"/>
      <c r="F93" s="60"/>
      <c r="G93" s="57"/>
      <c r="H93" s="57"/>
      <c r="I93" s="60">
        <v>1</v>
      </c>
      <c r="J93" s="60">
        <f t="shared" ref="J93:J99" si="7">ROUND(SUM(D93*I93),2)</f>
        <v>2.8</v>
      </c>
      <c r="K93" s="147"/>
    </row>
    <row r="94" spans="1:11" ht="15.75" x14ac:dyDescent="0.25">
      <c r="A94" s="116" t="s">
        <v>209</v>
      </c>
      <c r="B94" s="117"/>
      <c r="C94" s="57"/>
      <c r="D94" s="60">
        <v>16.2</v>
      </c>
      <c r="E94" s="60"/>
      <c r="F94" s="60"/>
      <c r="G94" s="57"/>
      <c r="H94" s="57"/>
      <c r="I94" s="60">
        <v>1</v>
      </c>
      <c r="J94" s="60">
        <f t="shared" si="7"/>
        <v>16.2</v>
      </c>
      <c r="K94" s="147"/>
    </row>
    <row r="95" spans="1:11" ht="15.75" x14ac:dyDescent="0.25">
      <c r="A95" s="116" t="s">
        <v>206</v>
      </c>
      <c r="B95" s="117"/>
      <c r="C95" s="57"/>
      <c r="D95" s="60">
        <v>13.45</v>
      </c>
      <c r="E95" s="60"/>
      <c r="F95" s="60"/>
      <c r="G95" s="57"/>
      <c r="H95" s="57"/>
      <c r="I95" s="60">
        <v>1</v>
      </c>
      <c r="J95" s="60">
        <f t="shared" si="7"/>
        <v>13.45</v>
      </c>
      <c r="K95" s="147"/>
    </row>
    <row r="96" spans="1:11" ht="15.75" x14ac:dyDescent="0.25">
      <c r="A96" s="116" t="s">
        <v>208</v>
      </c>
      <c r="B96" s="117"/>
      <c r="C96" s="57"/>
      <c r="D96" s="60">
        <v>13.45</v>
      </c>
      <c r="E96" s="60"/>
      <c r="F96" s="60"/>
      <c r="G96" s="57"/>
      <c r="H96" s="57"/>
      <c r="I96" s="60">
        <v>1</v>
      </c>
      <c r="J96" s="60">
        <f t="shared" si="7"/>
        <v>13.45</v>
      </c>
      <c r="K96" s="147"/>
    </row>
    <row r="97" spans="1:11" ht="15.75" x14ac:dyDescent="0.25">
      <c r="A97" s="116" t="s">
        <v>211</v>
      </c>
      <c r="B97" s="117"/>
      <c r="C97" s="57"/>
      <c r="D97" s="60">
        <v>8.1199999999999992</v>
      </c>
      <c r="E97" s="60"/>
      <c r="F97" s="60"/>
      <c r="G97" s="57"/>
      <c r="H97" s="57"/>
      <c r="I97" s="60">
        <v>1</v>
      </c>
      <c r="J97" s="60">
        <f t="shared" si="7"/>
        <v>8.1199999999999992</v>
      </c>
      <c r="K97" s="147"/>
    </row>
    <row r="98" spans="1:11" ht="15.75" x14ac:dyDescent="0.25">
      <c r="A98" s="116" t="s">
        <v>365</v>
      </c>
      <c r="B98" s="117"/>
      <c r="C98" s="57"/>
      <c r="D98" s="60">
        <v>12.5</v>
      </c>
      <c r="E98" s="60"/>
      <c r="F98" s="60"/>
      <c r="G98" s="57"/>
      <c r="H98" s="57"/>
      <c r="I98" s="60">
        <v>1</v>
      </c>
      <c r="J98" s="60">
        <f t="shared" si="7"/>
        <v>12.5</v>
      </c>
      <c r="K98" s="147"/>
    </row>
    <row r="99" spans="1:11" ht="15.75" x14ac:dyDescent="0.25">
      <c r="A99" s="123" t="s">
        <v>366</v>
      </c>
      <c r="B99" s="124"/>
      <c r="C99" s="57"/>
      <c r="D99" s="60">
        <v>24.01</v>
      </c>
      <c r="E99" s="60"/>
      <c r="F99" s="60"/>
      <c r="G99" s="57"/>
      <c r="H99" s="57"/>
      <c r="I99" s="60">
        <v>1</v>
      </c>
      <c r="J99" s="60">
        <f t="shared" si="7"/>
        <v>24.01</v>
      </c>
      <c r="K99" s="147"/>
    </row>
    <row r="100" spans="1:11" ht="15.75" x14ac:dyDescent="0.25">
      <c r="A100" s="123" t="s">
        <v>12</v>
      </c>
      <c r="B100" s="124"/>
      <c r="C100" s="124"/>
      <c r="D100" s="124"/>
      <c r="E100" s="124"/>
      <c r="F100" s="124"/>
      <c r="G100" s="124"/>
      <c r="H100" s="124"/>
      <c r="I100" s="124"/>
      <c r="J100" s="13">
        <f>ROUND(SUM(J92:J99),2)</f>
        <v>103.76</v>
      </c>
      <c r="K100" s="126"/>
    </row>
    <row r="101" spans="1:11" ht="15.75" x14ac:dyDescent="0.25">
      <c r="A101" s="127"/>
      <c r="B101" s="128"/>
      <c r="C101" s="128"/>
      <c r="D101" s="128"/>
      <c r="E101" s="128"/>
      <c r="F101" s="128"/>
      <c r="G101" s="128"/>
      <c r="H101" s="128"/>
      <c r="I101" s="128"/>
      <c r="J101" s="128"/>
      <c r="K101" s="129"/>
    </row>
    <row r="102" spans="1:11" ht="15.75" x14ac:dyDescent="0.25">
      <c r="A102" s="142" t="s">
        <v>54</v>
      </c>
      <c r="B102" s="143"/>
      <c r="C102" s="144" t="s">
        <v>48</v>
      </c>
      <c r="D102" s="145"/>
      <c r="E102" s="145"/>
      <c r="F102" s="145"/>
      <c r="G102" s="145"/>
      <c r="H102" s="145"/>
      <c r="I102" s="145"/>
      <c r="J102" s="145"/>
      <c r="K102" s="146"/>
    </row>
    <row r="103" spans="1:11" ht="15.75" x14ac:dyDescent="0.25">
      <c r="A103" s="51" t="s">
        <v>3</v>
      </c>
      <c r="B103" s="59" t="s">
        <v>56</v>
      </c>
      <c r="C103" s="118" t="str">
        <f>'PLANILHA ORÇAMENTÁRIA '!C30</f>
        <v>LASTRO DE CONCRETO MAGRO, APLICADO EM BLOCOS DE COROAMENTO OU SAPATAS. AF_01/2024</v>
      </c>
      <c r="D103" s="119"/>
      <c r="E103" s="119"/>
      <c r="F103" s="119"/>
      <c r="G103" s="119"/>
      <c r="H103" s="119"/>
      <c r="I103" s="119"/>
      <c r="J103" s="119"/>
      <c r="K103" s="120"/>
    </row>
    <row r="104" spans="1:11" ht="15.75" x14ac:dyDescent="0.25">
      <c r="A104" s="121" t="s">
        <v>4</v>
      </c>
      <c r="B104" s="122"/>
      <c r="C104" s="59"/>
      <c r="D104" s="59" t="s">
        <v>5</v>
      </c>
      <c r="E104" s="59" t="s">
        <v>32</v>
      </c>
      <c r="F104" s="59" t="s">
        <v>30</v>
      </c>
      <c r="G104" s="59"/>
      <c r="H104" s="59"/>
      <c r="I104" s="59" t="s">
        <v>6</v>
      </c>
      <c r="J104" s="59" t="s">
        <v>166</v>
      </c>
      <c r="K104" s="11" t="s">
        <v>7</v>
      </c>
    </row>
    <row r="105" spans="1:11" ht="15.75" x14ac:dyDescent="0.25">
      <c r="A105" s="123" t="s">
        <v>164</v>
      </c>
      <c r="B105" s="124"/>
      <c r="C105" s="57"/>
      <c r="D105" s="60">
        <f>2.3+2.35</f>
        <v>4.6500000000000004</v>
      </c>
      <c r="E105" s="60">
        <f>2+2</f>
        <v>4</v>
      </c>
      <c r="F105" s="60">
        <v>0.05</v>
      </c>
      <c r="G105" s="57"/>
      <c r="H105" s="57"/>
      <c r="I105" s="60">
        <v>1</v>
      </c>
      <c r="J105" s="60">
        <f>ROUND(SUM(D105*I105*E105*F105),2)</f>
        <v>0.93</v>
      </c>
      <c r="K105" s="126" t="s">
        <v>215</v>
      </c>
    </row>
    <row r="106" spans="1:11" ht="15.75" x14ac:dyDescent="0.25">
      <c r="A106" s="123" t="s">
        <v>12</v>
      </c>
      <c r="B106" s="124"/>
      <c r="C106" s="124"/>
      <c r="D106" s="124"/>
      <c r="E106" s="124"/>
      <c r="F106" s="124"/>
      <c r="G106" s="124"/>
      <c r="H106" s="124"/>
      <c r="I106" s="124"/>
      <c r="J106" s="13">
        <f>ROUND(SUM(J105:J105),2)</f>
        <v>0.93</v>
      </c>
      <c r="K106" s="126"/>
    </row>
    <row r="107" spans="1:11" ht="15.75" x14ac:dyDescent="0.25">
      <c r="A107" s="116"/>
      <c r="B107" s="132"/>
      <c r="C107" s="132"/>
      <c r="D107" s="132"/>
      <c r="E107" s="132"/>
      <c r="F107" s="132"/>
      <c r="G107" s="132"/>
      <c r="H107" s="132"/>
      <c r="I107" s="132"/>
      <c r="J107" s="132"/>
      <c r="K107" s="133"/>
    </row>
    <row r="108" spans="1:11" ht="15.75" x14ac:dyDescent="0.25">
      <c r="A108" s="51" t="s">
        <v>3</v>
      </c>
      <c r="B108" s="59" t="s">
        <v>57</v>
      </c>
      <c r="C108" s="118" t="str">
        <f>'PLANILHA ORÇAMENTÁRIA '!C31</f>
        <v>CONTRAPISO DESEMPENADO COM ARGAMASSA, TRAÇO 1:3 (CIMENTO E AREIA), ESP. 20MM, INCLUSIVE ARGAMASSA COM PREPARO MECANIZADO</v>
      </c>
      <c r="D108" s="119"/>
      <c r="E108" s="119"/>
      <c r="F108" s="119"/>
      <c r="G108" s="119"/>
      <c r="H108" s="119"/>
      <c r="I108" s="119"/>
      <c r="J108" s="119"/>
      <c r="K108" s="120"/>
    </row>
    <row r="109" spans="1:11" ht="15.75" x14ac:dyDescent="0.25">
      <c r="A109" s="121" t="s">
        <v>4</v>
      </c>
      <c r="B109" s="122"/>
      <c r="C109" s="59"/>
      <c r="D109" s="59" t="s">
        <v>5</v>
      </c>
      <c r="E109" s="59" t="s">
        <v>32</v>
      </c>
      <c r="F109" s="59"/>
      <c r="G109" s="59"/>
      <c r="H109" s="59"/>
      <c r="I109" s="59" t="s">
        <v>6</v>
      </c>
      <c r="J109" s="59" t="s">
        <v>19</v>
      </c>
      <c r="K109" s="11" t="s">
        <v>7</v>
      </c>
    </row>
    <row r="110" spans="1:11" ht="15.75" x14ac:dyDescent="0.25">
      <c r="A110" s="123" t="s">
        <v>164</v>
      </c>
      <c r="B110" s="124"/>
      <c r="C110" s="57"/>
      <c r="D110" s="60">
        <f>D105</f>
        <v>4.6500000000000004</v>
      </c>
      <c r="E110" s="60">
        <f>E105</f>
        <v>4</v>
      </c>
      <c r="F110" s="60"/>
      <c r="G110" s="57"/>
      <c r="H110" s="57"/>
      <c r="I110" s="60">
        <v>1</v>
      </c>
      <c r="J110" s="60">
        <f>ROUND(SUM(D110*I110*E110),2)</f>
        <v>18.600000000000001</v>
      </c>
      <c r="K110" s="126" t="s">
        <v>215</v>
      </c>
    </row>
    <row r="111" spans="1:11" ht="15.75" x14ac:dyDescent="0.25">
      <c r="A111" s="116" t="s">
        <v>423</v>
      </c>
      <c r="B111" s="117"/>
      <c r="C111" s="79"/>
      <c r="D111" s="80">
        <v>2</v>
      </c>
      <c r="E111" s="80">
        <v>1.6</v>
      </c>
      <c r="F111" s="80"/>
      <c r="G111" s="79"/>
      <c r="H111" s="79"/>
      <c r="I111" s="80">
        <v>1</v>
      </c>
      <c r="J111" s="80">
        <f>ROUND(SUM(D111*I111*E111),2)</f>
        <v>3.2</v>
      </c>
      <c r="K111" s="126"/>
    </row>
    <row r="112" spans="1:11" ht="15.75" x14ac:dyDescent="0.25">
      <c r="A112" s="123" t="s">
        <v>12</v>
      </c>
      <c r="B112" s="124"/>
      <c r="C112" s="124"/>
      <c r="D112" s="124"/>
      <c r="E112" s="124"/>
      <c r="F112" s="124"/>
      <c r="G112" s="124"/>
      <c r="H112" s="124"/>
      <c r="I112" s="124"/>
      <c r="J112" s="13">
        <f>ROUND(SUM(J110:J111),2)</f>
        <v>21.8</v>
      </c>
      <c r="K112" s="126"/>
    </row>
    <row r="113" spans="1:11" ht="15.75" x14ac:dyDescent="0.25">
      <c r="A113" s="116"/>
      <c r="B113" s="132"/>
      <c r="C113" s="132"/>
      <c r="D113" s="132"/>
      <c r="E113" s="132"/>
      <c r="F113" s="132"/>
      <c r="G113" s="132"/>
      <c r="H113" s="132"/>
      <c r="I113" s="132"/>
      <c r="J113" s="132"/>
      <c r="K113" s="133"/>
    </row>
    <row r="114" spans="1:11" ht="15.75" x14ac:dyDescent="0.25">
      <c r="A114" s="51" t="s">
        <v>3</v>
      </c>
      <c r="B114" s="59" t="s">
        <v>58</v>
      </c>
      <c r="C114" s="118" t="str">
        <f>'PLANILHA ORÇAMENTÁRIA '!C32</f>
        <v>REVESTIMENTO CERÂMICO PARA PISO COM PLACAS TIPO ESMALTADA DE DIMENSÕES 60X60 CM APLICADA EM AMBIENTES DE ÁREA MAIOR QUE 10 M2. AF_02/2023_PE</v>
      </c>
      <c r="D114" s="119"/>
      <c r="E114" s="119"/>
      <c r="F114" s="119"/>
      <c r="G114" s="119"/>
      <c r="H114" s="119"/>
      <c r="I114" s="119"/>
      <c r="J114" s="119"/>
      <c r="K114" s="120"/>
    </row>
    <row r="115" spans="1:11" ht="15.75" x14ac:dyDescent="0.25">
      <c r="A115" s="121" t="s">
        <v>4</v>
      </c>
      <c r="B115" s="122"/>
      <c r="C115" s="59"/>
      <c r="D115" s="59" t="s">
        <v>37</v>
      </c>
      <c r="E115" s="59"/>
      <c r="F115" s="59"/>
      <c r="G115" s="59"/>
      <c r="H115" s="59"/>
      <c r="I115" s="59" t="s">
        <v>6</v>
      </c>
      <c r="J115" s="59" t="s">
        <v>19</v>
      </c>
      <c r="K115" s="11" t="s">
        <v>7</v>
      </c>
    </row>
    <row r="116" spans="1:11" ht="15.75" x14ac:dyDescent="0.25">
      <c r="A116" s="130" t="str">
        <f t="shared" ref="A116:A123" si="8">A92</f>
        <v>COPA</v>
      </c>
      <c r="B116" s="131"/>
      <c r="C116" s="57"/>
      <c r="D116" s="60">
        <f t="shared" ref="D116:D123" si="9">D92</f>
        <v>13.23</v>
      </c>
      <c r="E116" s="60"/>
      <c r="F116" s="60"/>
      <c r="G116" s="57"/>
      <c r="H116" s="57"/>
      <c r="I116" s="60">
        <v>1</v>
      </c>
      <c r="J116" s="60">
        <f>ROUND(SUM(D116*I116),2)</f>
        <v>13.23</v>
      </c>
      <c r="K116" s="147"/>
    </row>
    <row r="117" spans="1:11" ht="15.75" x14ac:dyDescent="0.25">
      <c r="A117" s="123" t="str">
        <f t="shared" si="8"/>
        <v>DML</v>
      </c>
      <c r="B117" s="124"/>
      <c r="C117" s="57"/>
      <c r="D117" s="60">
        <f t="shared" si="9"/>
        <v>2.8</v>
      </c>
      <c r="E117" s="60"/>
      <c r="F117" s="60"/>
      <c r="G117" s="57"/>
      <c r="H117" s="57"/>
      <c r="I117" s="60">
        <v>1</v>
      </c>
      <c r="J117" s="60">
        <f t="shared" ref="J117:J129" si="10">ROUND(SUM(D117*I117),2)</f>
        <v>2.8</v>
      </c>
      <c r="K117" s="147"/>
    </row>
    <row r="118" spans="1:11" ht="15.75" x14ac:dyDescent="0.25">
      <c r="A118" s="123" t="str">
        <f t="shared" si="8"/>
        <v>SALA COORDENAÇÃO</v>
      </c>
      <c r="B118" s="124"/>
      <c r="C118" s="57"/>
      <c r="D118" s="60">
        <f t="shared" si="9"/>
        <v>16.2</v>
      </c>
      <c r="E118" s="60"/>
      <c r="F118" s="60"/>
      <c r="G118" s="57"/>
      <c r="H118" s="57"/>
      <c r="I118" s="60">
        <v>1</v>
      </c>
      <c r="J118" s="60">
        <f t="shared" si="10"/>
        <v>16.2</v>
      </c>
      <c r="K118" s="147"/>
    </row>
    <row r="119" spans="1:11" ht="15.75" x14ac:dyDescent="0.25">
      <c r="A119" s="123" t="str">
        <f t="shared" si="8"/>
        <v>SUDESE/SINE</v>
      </c>
      <c r="B119" s="124"/>
      <c r="C119" s="57"/>
      <c r="D119" s="60">
        <f t="shared" si="9"/>
        <v>13.45</v>
      </c>
      <c r="E119" s="60"/>
      <c r="F119" s="60"/>
      <c r="G119" s="57"/>
      <c r="H119" s="57"/>
      <c r="I119" s="60">
        <v>1</v>
      </c>
      <c r="J119" s="60">
        <f t="shared" si="10"/>
        <v>13.45</v>
      </c>
      <c r="K119" s="147"/>
    </row>
    <row r="120" spans="1:11" ht="15.75" x14ac:dyDescent="0.25">
      <c r="A120" s="123" t="str">
        <f t="shared" si="8"/>
        <v>IIMG</v>
      </c>
      <c r="B120" s="124"/>
      <c r="C120" s="57"/>
      <c r="D120" s="60">
        <f t="shared" si="9"/>
        <v>13.45</v>
      </c>
      <c r="E120" s="60"/>
      <c r="F120" s="60"/>
      <c r="G120" s="57"/>
      <c r="H120" s="57"/>
      <c r="I120" s="60">
        <v>1</v>
      </c>
      <c r="J120" s="60">
        <f t="shared" si="10"/>
        <v>13.45</v>
      </c>
      <c r="K120" s="147"/>
    </row>
    <row r="121" spans="1:11" ht="15.75" x14ac:dyDescent="0.25">
      <c r="A121" s="123" t="str">
        <f t="shared" si="8"/>
        <v>CIRCULAÇÃO</v>
      </c>
      <c r="B121" s="124"/>
      <c r="C121" s="57"/>
      <c r="D121" s="60">
        <f t="shared" si="9"/>
        <v>8.1199999999999992</v>
      </c>
      <c r="E121" s="60"/>
      <c r="F121" s="60"/>
      <c r="G121" s="57"/>
      <c r="H121" s="57"/>
      <c r="I121" s="60">
        <v>1</v>
      </c>
      <c r="J121" s="60">
        <f t="shared" si="10"/>
        <v>8.1199999999999992</v>
      </c>
      <c r="K121" s="147"/>
    </row>
    <row r="122" spans="1:11" ht="15.75" x14ac:dyDescent="0.25">
      <c r="A122" s="123" t="str">
        <f t="shared" si="8"/>
        <v>PROVA DETRAN</v>
      </c>
      <c r="B122" s="124"/>
      <c r="C122" s="57"/>
      <c r="D122" s="60">
        <f t="shared" si="9"/>
        <v>12.5</v>
      </c>
      <c r="E122" s="60"/>
      <c r="F122" s="60"/>
      <c r="G122" s="57"/>
      <c r="H122" s="57"/>
      <c r="I122" s="60">
        <v>1</v>
      </c>
      <c r="J122" s="60">
        <f t="shared" si="10"/>
        <v>12.5</v>
      </c>
      <c r="K122" s="147"/>
    </row>
    <row r="123" spans="1:11" ht="15.75" x14ac:dyDescent="0.25">
      <c r="A123" s="123" t="str">
        <f t="shared" si="8"/>
        <v xml:space="preserve">SALA DE ATENDIMENTO </v>
      </c>
      <c r="B123" s="124"/>
      <c r="C123" s="57"/>
      <c r="D123" s="60">
        <f t="shared" si="9"/>
        <v>24.01</v>
      </c>
      <c r="E123" s="60"/>
      <c r="F123" s="60"/>
      <c r="G123" s="57"/>
      <c r="H123" s="57"/>
      <c r="I123" s="60">
        <v>1</v>
      </c>
      <c r="J123" s="60">
        <f t="shared" si="10"/>
        <v>24.01</v>
      </c>
      <c r="K123" s="147"/>
    </row>
    <row r="124" spans="1:11" ht="15.75" x14ac:dyDescent="0.25">
      <c r="A124" s="123" t="s">
        <v>207</v>
      </c>
      <c r="B124" s="124"/>
      <c r="C124" s="57"/>
      <c r="D124" s="60">
        <v>4.5999999999999996</v>
      </c>
      <c r="E124" s="60"/>
      <c r="F124" s="60"/>
      <c r="G124" s="57"/>
      <c r="H124" s="57"/>
      <c r="I124" s="60">
        <v>1</v>
      </c>
      <c r="J124" s="60">
        <f t="shared" si="10"/>
        <v>4.5999999999999996</v>
      </c>
      <c r="K124" s="147"/>
    </row>
    <row r="125" spans="1:11" ht="15.75" x14ac:dyDescent="0.25">
      <c r="A125" s="123" t="s">
        <v>367</v>
      </c>
      <c r="B125" s="124"/>
      <c r="C125" s="57"/>
      <c r="D125" s="60">
        <v>4.5999999999999996</v>
      </c>
      <c r="E125" s="60"/>
      <c r="F125" s="60"/>
      <c r="G125" s="57"/>
      <c r="H125" s="57"/>
      <c r="I125" s="60">
        <v>1</v>
      </c>
      <c r="J125" s="60">
        <f t="shared" si="10"/>
        <v>4.5999999999999996</v>
      </c>
      <c r="K125" s="147"/>
    </row>
    <row r="126" spans="1:11" ht="15.75" x14ac:dyDescent="0.25">
      <c r="A126" s="123" t="s">
        <v>368</v>
      </c>
      <c r="B126" s="124"/>
      <c r="C126" s="57"/>
      <c r="D126" s="60">
        <v>2.1</v>
      </c>
      <c r="E126" s="60"/>
      <c r="F126" s="60"/>
      <c r="G126" s="57"/>
      <c r="H126" s="57"/>
      <c r="I126" s="60">
        <v>1</v>
      </c>
      <c r="J126" s="60">
        <f t="shared" si="10"/>
        <v>2.1</v>
      </c>
      <c r="K126" s="147"/>
    </row>
    <row r="127" spans="1:11" ht="15.75" x14ac:dyDescent="0.25">
      <c r="A127" s="123" t="s">
        <v>369</v>
      </c>
      <c r="B127" s="124"/>
      <c r="C127" s="57"/>
      <c r="D127" s="60">
        <v>25.05</v>
      </c>
      <c r="E127" s="60"/>
      <c r="F127" s="60"/>
      <c r="G127" s="57"/>
      <c r="H127" s="57"/>
      <c r="I127" s="60">
        <v>1</v>
      </c>
      <c r="J127" s="60">
        <f t="shared" si="10"/>
        <v>25.05</v>
      </c>
      <c r="K127" s="147"/>
    </row>
    <row r="128" spans="1:11" ht="15.75" x14ac:dyDescent="0.25">
      <c r="A128" s="116" t="s">
        <v>370</v>
      </c>
      <c r="B128" s="117"/>
      <c r="C128" s="70"/>
      <c r="D128" s="60">
        <v>4.2</v>
      </c>
      <c r="E128" s="60"/>
      <c r="F128" s="60"/>
      <c r="G128" s="70"/>
      <c r="H128" s="70"/>
      <c r="I128" s="60">
        <v>1</v>
      </c>
      <c r="J128" s="60">
        <f t="shared" si="10"/>
        <v>4.2</v>
      </c>
      <c r="K128" s="147"/>
    </row>
    <row r="129" spans="1:11" ht="15.75" x14ac:dyDescent="0.25">
      <c r="A129" s="116" t="s">
        <v>371</v>
      </c>
      <c r="B129" s="117"/>
      <c r="C129" s="70"/>
      <c r="D129" s="60">
        <v>9.75</v>
      </c>
      <c r="E129" s="60"/>
      <c r="F129" s="60"/>
      <c r="G129" s="70"/>
      <c r="H129" s="70"/>
      <c r="I129" s="60">
        <v>1</v>
      </c>
      <c r="J129" s="60">
        <f t="shared" si="10"/>
        <v>9.75</v>
      </c>
      <c r="K129" s="147"/>
    </row>
    <row r="130" spans="1:11" ht="15.75" x14ac:dyDescent="0.25">
      <c r="A130" s="123"/>
      <c r="B130" s="124"/>
      <c r="C130" s="124"/>
      <c r="D130" s="124"/>
      <c r="E130" s="124"/>
      <c r="F130" s="124"/>
      <c r="G130" s="124"/>
      <c r="H130" s="124"/>
      <c r="I130" s="124"/>
      <c r="J130" s="13">
        <f>ROUND(SUM(J116:J129),2)</f>
        <v>154.06</v>
      </c>
      <c r="K130" s="126"/>
    </row>
    <row r="131" spans="1:11" ht="15.75" x14ac:dyDescent="0.25">
      <c r="A131" s="116"/>
      <c r="B131" s="132"/>
      <c r="C131" s="132"/>
      <c r="D131" s="132"/>
      <c r="E131" s="132"/>
      <c r="F131" s="132"/>
      <c r="G131" s="132"/>
      <c r="H131" s="132"/>
      <c r="I131" s="132"/>
      <c r="J131" s="132"/>
      <c r="K131" s="133"/>
    </row>
    <row r="132" spans="1:11" ht="15.75" x14ac:dyDescent="0.25">
      <c r="A132" s="51" t="s">
        <v>3</v>
      </c>
      <c r="B132" s="59" t="s">
        <v>59</v>
      </c>
      <c r="C132" s="118" t="str">
        <f>'PLANILHA ORÇAMENTÁRIA '!C33</f>
        <v>RODAPÉ CERÂMICO DE 7CM DE ALTURA COM PLACAS TIPO ESMALTADA DE DIMENSÕES 60X60CM. AF_02/2023</v>
      </c>
      <c r="D132" s="119"/>
      <c r="E132" s="119"/>
      <c r="F132" s="119"/>
      <c r="G132" s="119"/>
      <c r="H132" s="119"/>
      <c r="I132" s="119"/>
      <c r="J132" s="119"/>
      <c r="K132" s="120"/>
    </row>
    <row r="133" spans="1:11" ht="15.75" x14ac:dyDescent="0.25">
      <c r="A133" s="121" t="s">
        <v>4</v>
      </c>
      <c r="B133" s="122"/>
      <c r="C133" s="59"/>
      <c r="D133" s="59" t="s">
        <v>5</v>
      </c>
      <c r="E133" s="59"/>
      <c r="F133" s="59"/>
      <c r="G133" s="59"/>
      <c r="H133" s="59"/>
      <c r="I133" s="59" t="s">
        <v>6</v>
      </c>
      <c r="J133" s="59" t="s">
        <v>22</v>
      </c>
      <c r="K133" s="11" t="s">
        <v>7</v>
      </c>
    </row>
    <row r="134" spans="1:11" ht="15.75" x14ac:dyDescent="0.25">
      <c r="A134" s="123" t="str">
        <f>A116</f>
        <v>COPA</v>
      </c>
      <c r="B134" s="124"/>
      <c r="C134" s="57" t="s">
        <v>372</v>
      </c>
      <c r="D134" s="60">
        <f>5.5+3+1</f>
        <v>9.5</v>
      </c>
      <c r="E134" s="60"/>
      <c r="F134" s="60"/>
      <c r="G134" s="57"/>
      <c r="H134" s="57"/>
      <c r="I134" s="60">
        <v>1</v>
      </c>
      <c r="J134" s="60">
        <f t="shared" ref="J134:J145" si="11">ROUND(SUM(D134*I134),2)</f>
        <v>9.5</v>
      </c>
      <c r="K134" s="134" t="s">
        <v>216</v>
      </c>
    </row>
    <row r="135" spans="1:11" ht="15.75" x14ac:dyDescent="0.25">
      <c r="A135" s="123" t="str">
        <f t="shared" ref="A135:A141" si="12">A117</f>
        <v>DML</v>
      </c>
      <c r="B135" s="124"/>
      <c r="C135" s="70"/>
      <c r="D135" s="60">
        <v>1.86</v>
      </c>
      <c r="E135" s="60"/>
      <c r="F135" s="60"/>
      <c r="G135" s="70"/>
      <c r="H135" s="70"/>
      <c r="I135" s="60">
        <v>1</v>
      </c>
      <c r="J135" s="60">
        <f t="shared" si="11"/>
        <v>1.86</v>
      </c>
      <c r="K135" s="134"/>
    </row>
    <row r="136" spans="1:11" ht="15.75" x14ac:dyDescent="0.25">
      <c r="A136" s="123" t="str">
        <f t="shared" si="12"/>
        <v>SALA COORDENAÇÃO</v>
      </c>
      <c r="B136" s="124"/>
      <c r="C136" s="60" t="s">
        <v>373</v>
      </c>
      <c r="D136" s="60">
        <f>5.4+3+3</f>
        <v>11.4</v>
      </c>
      <c r="E136" s="60"/>
      <c r="F136" s="60"/>
      <c r="G136" s="70"/>
      <c r="H136" s="70"/>
      <c r="I136" s="60">
        <v>1</v>
      </c>
      <c r="J136" s="60">
        <f t="shared" si="11"/>
        <v>11.4</v>
      </c>
      <c r="K136" s="134"/>
    </row>
    <row r="137" spans="1:11" ht="15.75" x14ac:dyDescent="0.25">
      <c r="A137" s="123" t="str">
        <f t="shared" si="12"/>
        <v>SUDESE/SINE</v>
      </c>
      <c r="B137" s="124"/>
      <c r="C137" s="70"/>
      <c r="D137" s="60">
        <v>3.31</v>
      </c>
      <c r="E137" s="60"/>
      <c r="F137" s="60"/>
      <c r="G137" s="70"/>
      <c r="H137" s="70"/>
      <c r="I137" s="60">
        <v>1</v>
      </c>
      <c r="J137" s="60">
        <f t="shared" si="11"/>
        <v>3.31</v>
      </c>
      <c r="K137" s="134"/>
    </row>
    <row r="138" spans="1:11" ht="15.75" x14ac:dyDescent="0.25">
      <c r="A138" s="123" t="str">
        <f t="shared" si="12"/>
        <v>IIMG</v>
      </c>
      <c r="B138" s="124"/>
      <c r="C138" s="70"/>
      <c r="D138" s="60">
        <v>3.32</v>
      </c>
      <c r="E138" s="60"/>
      <c r="F138" s="60"/>
      <c r="G138" s="70"/>
      <c r="H138" s="70"/>
      <c r="I138" s="60">
        <v>1</v>
      </c>
      <c r="J138" s="60">
        <f t="shared" si="11"/>
        <v>3.32</v>
      </c>
      <c r="K138" s="134"/>
    </row>
    <row r="139" spans="1:11" ht="15.75" x14ac:dyDescent="0.25">
      <c r="A139" s="123" t="str">
        <f t="shared" si="12"/>
        <v>CIRCULAÇÃO</v>
      </c>
      <c r="B139" s="124"/>
      <c r="C139" s="70"/>
      <c r="D139" s="60">
        <v>4.9400000000000004</v>
      </c>
      <c r="E139" s="60"/>
      <c r="F139" s="60"/>
      <c r="G139" s="70"/>
      <c r="H139" s="70"/>
      <c r="I139" s="60">
        <v>1</v>
      </c>
      <c r="J139" s="60">
        <f t="shared" si="11"/>
        <v>4.9400000000000004</v>
      </c>
      <c r="K139" s="134"/>
    </row>
    <row r="140" spans="1:11" ht="15.75" x14ac:dyDescent="0.25">
      <c r="A140" s="123" t="str">
        <f t="shared" si="12"/>
        <v>PROVA DETRAN</v>
      </c>
      <c r="B140" s="124"/>
      <c r="C140" s="70"/>
      <c r="D140" s="60">
        <v>3</v>
      </c>
      <c r="E140" s="60"/>
      <c r="F140" s="60"/>
      <c r="G140" s="70"/>
      <c r="H140" s="70"/>
      <c r="I140" s="60">
        <v>1</v>
      </c>
      <c r="J140" s="60">
        <f t="shared" si="11"/>
        <v>3</v>
      </c>
      <c r="K140" s="134"/>
    </row>
    <row r="141" spans="1:11" ht="15.75" x14ac:dyDescent="0.25">
      <c r="A141" s="123" t="str">
        <f t="shared" si="12"/>
        <v xml:space="preserve">SALA DE ATENDIMENTO </v>
      </c>
      <c r="B141" s="124"/>
      <c r="C141" s="70" t="s">
        <v>374</v>
      </c>
      <c r="D141" s="60">
        <f>1.8+6.76+6.85</f>
        <v>15.41</v>
      </c>
      <c r="E141" s="60"/>
      <c r="F141" s="60"/>
      <c r="G141" s="70"/>
      <c r="H141" s="70"/>
      <c r="I141" s="60">
        <v>1</v>
      </c>
      <c r="J141" s="60">
        <f t="shared" si="11"/>
        <v>15.41</v>
      </c>
      <c r="K141" s="134"/>
    </row>
    <row r="142" spans="1:11" ht="15.75" x14ac:dyDescent="0.25">
      <c r="A142" s="123" t="str">
        <f>A126</f>
        <v>RACK</v>
      </c>
      <c r="B142" s="124"/>
      <c r="C142" s="70"/>
      <c r="D142" s="60">
        <v>2.06</v>
      </c>
      <c r="E142" s="60"/>
      <c r="F142" s="60"/>
      <c r="G142" s="70"/>
      <c r="H142" s="70"/>
      <c r="I142" s="60">
        <v>1</v>
      </c>
      <c r="J142" s="60">
        <f t="shared" si="11"/>
        <v>2.06</v>
      </c>
      <c r="K142" s="134"/>
    </row>
    <row r="143" spans="1:11" ht="15.75" x14ac:dyDescent="0.25">
      <c r="A143" s="123" t="str">
        <f>A127</f>
        <v>SALA DE ESPERA</v>
      </c>
      <c r="B143" s="124"/>
      <c r="C143" s="70" t="s">
        <v>375</v>
      </c>
      <c r="D143" s="60">
        <f>5.75+3.56+1.24+4.8+3.69</f>
        <v>19.040000000000003</v>
      </c>
      <c r="E143" s="60"/>
      <c r="F143" s="60"/>
      <c r="G143" s="70"/>
      <c r="H143" s="70"/>
      <c r="I143" s="60">
        <v>1</v>
      </c>
      <c r="J143" s="60">
        <f t="shared" si="11"/>
        <v>19.04</v>
      </c>
      <c r="K143" s="134"/>
    </row>
    <row r="144" spans="1:11" ht="15.75" x14ac:dyDescent="0.25">
      <c r="A144" s="123" t="str">
        <f>A128</f>
        <v xml:space="preserve">ALMOXERIFADO </v>
      </c>
      <c r="B144" s="124"/>
      <c r="C144" s="70" t="s">
        <v>376</v>
      </c>
      <c r="D144" s="60">
        <f>3+3+1.4+1.4</f>
        <v>8.8000000000000007</v>
      </c>
      <c r="E144" s="60"/>
      <c r="F144" s="60"/>
      <c r="G144" s="70"/>
      <c r="H144" s="70"/>
      <c r="I144" s="60">
        <v>1</v>
      </c>
      <c r="J144" s="60">
        <f t="shared" si="11"/>
        <v>8.8000000000000007</v>
      </c>
      <c r="K144" s="134"/>
    </row>
    <row r="145" spans="1:11" ht="15.75" x14ac:dyDescent="0.25">
      <c r="A145" s="123" t="str">
        <f>A129</f>
        <v xml:space="preserve">RECPÇÃO </v>
      </c>
      <c r="B145" s="124"/>
      <c r="C145" s="70" t="s">
        <v>377</v>
      </c>
      <c r="D145" s="60">
        <f>3.25+3.25+3+3</f>
        <v>12.5</v>
      </c>
      <c r="E145" s="60"/>
      <c r="F145" s="60"/>
      <c r="G145" s="70"/>
      <c r="H145" s="70"/>
      <c r="I145" s="60">
        <v>1</v>
      </c>
      <c r="J145" s="60">
        <f t="shared" si="11"/>
        <v>12.5</v>
      </c>
      <c r="K145" s="134"/>
    </row>
    <row r="146" spans="1:11" ht="15.75" x14ac:dyDescent="0.25">
      <c r="A146" s="123" t="s">
        <v>12</v>
      </c>
      <c r="B146" s="124"/>
      <c r="C146" s="124"/>
      <c r="D146" s="124"/>
      <c r="E146" s="124"/>
      <c r="F146" s="124"/>
      <c r="G146" s="124"/>
      <c r="H146" s="124"/>
      <c r="I146" s="124"/>
      <c r="J146" s="13">
        <f>ROUND(SUM(J134:J145),2)</f>
        <v>95.14</v>
      </c>
      <c r="K146" s="126"/>
    </row>
    <row r="147" spans="1:11" ht="15.75" x14ac:dyDescent="0.25">
      <c r="A147" s="127"/>
      <c r="B147" s="128"/>
      <c r="C147" s="128"/>
      <c r="D147" s="128"/>
      <c r="E147" s="128"/>
      <c r="F147" s="128"/>
      <c r="G147" s="128"/>
      <c r="H147" s="128"/>
      <c r="I147" s="128"/>
      <c r="J147" s="128"/>
      <c r="K147" s="129"/>
    </row>
    <row r="148" spans="1:11" ht="15.75" x14ac:dyDescent="0.25">
      <c r="A148" s="51" t="s">
        <v>3</v>
      </c>
      <c r="B148" s="59" t="s">
        <v>60</v>
      </c>
      <c r="C148" s="118" t="str">
        <f>'PLANILHA ORÇAMENTÁRIA '!C34</f>
        <v>REVESTIMENTO CERÂMICO PARA PAREDES INTERNAS COM PLACAS TIPO ESMALTADA DE DIMENSÕES 33X45 CM APLICADAS NA ALTURA INTEIRA DAS PAREDES. AF_02/2023_PE</v>
      </c>
      <c r="D148" s="119"/>
      <c r="E148" s="119"/>
      <c r="F148" s="119"/>
      <c r="G148" s="119"/>
      <c r="H148" s="119"/>
      <c r="I148" s="119"/>
      <c r="J148" s="119"/>
      <c r="K148" s="120"/>
    </row>
    <row r="149" spans="1:11" ht="15.75" x14ac:dyDescent="0.25">
      <c r="A149" s="121" t="s">
        <v>4</v>
      </c>
      <c r="B149" s="122"/>
      <c r="C149" s="59"/>
      <c r="D149" s="59" t="s">
        <v>5</v>
      </c>
      <c r="E149" s="59" t="s">
        <v>27</v>
      </c>
      <c r="F149" s="59"/>
      <c r="G149" s="59"/>
      <c r="H149" s="59"/>
      <c r="I149" s="59" t="s">
        <v>6</v>
      </c>
      <c r="J149" s="59" t="s">
        <v>19</v>
      </c>
      <c r="K149" s="11" t="s">
        <v>7</v>
      </c>
    </row>
    <row r="150" spans="1:11" ht="15.75" x14ac:dyDescent="0.25">
      <c r="A150" s="123" t="str">
        <f>A116</f>
        <v>COPA</v>
      </c>
      <c r="B150" s="124"/>
      <c r="C150" s="57" t="s">
        <v>378</v>
      </c>
      <c r="D150" s="60">
        <v>2.6</v>
      </c>
      <c r="E150" s="60">
        <v>2.7</v>
      </c>
      <c r="F150" s="60"/>
      <c r="G150" s="57"/>
      <c r="H150" s="57"/>
      <c r="I150" s="60">
        <v>1</v>
      </c>
      <c r="J150" s="60">
        <f>ROUND(SUM(D150*E150*I150),2)</f>
        <v>7.02</v>
      </c>
      <c r="K150" s="134" t="s">
        <v>216</v>
      </c>
    </row>
    <row r="151" spans="1:11" ht="15.75" x14ac:dyDescent="0.25">
      <c r="A151" s="123" t="str">
        <f>A117</f>
        <v>DML</v>
      </c>
      <c r="B151" s="124"/>
      <c r="C151" s="57">
        <v>1.86</v>
      </c>
      <c r="D151" s="60">
        <f>1.86</f>
        <v>1.86</v>
      </c>
      <c r="E151" s="60">
        <v>2.5</v>
      </c>
      <c r="F151" s="60"/>
      <c r="G151" s="57"/>
      <c r="H151" s="57"/>
      <c r="I151" s="60">
        <v>1</v>
      </c>
      <c r="J151" s="60">
        <f t="shared" ref="J151:J153" si="13">ROUND(SUM(D151*E151*I151),2)</f>
        <v>4.6500000000000004</v>
      </c>
      <c r="K151" s="125"/>
    </row>
    <row r="152" spans="1:11" ht="15.75" x14ac:dyDescent="0.25">
      <c r="A152" s="123" t="str">
        <f>A124</f>
        <v>W.C. FEM.</v>
      </c>
      <c r="B152" s="124"/>
      <c r="C152" s="137" t="s">
        <v>379</v>
      </c>
      <c r="D152" s="60">
        <f>(2*2+2.35*2)</f>
        <v>8.6999999999999993</v>
      </c>
      <c r="E152" s="60">
        <v>2.5</v>
      </c>
      <c r="F152" s="60"/>
      <c r="G152" s="57"/>
      <c r="H152" s="57"/>
      <c r="I152" s="60">
        <v>1</v>
      </c>
      <c r="J152" s="60">
        <f t="shared" si="13"/>
        <v>21.75</v>
      </c>
      <c r="K152" s="125"/>
    </row>
    <row r="153" spans="1:11" ht="15.75" x14ac:dyDescent="0.25">
      <c r="A153" s="123" t="str">
        <f>A125</f>
        <v>W.C. MASC.</v>
      </c>
      <c r="B153" s="124"/>
      <c r="C153" s="138"/>
      <c r="D153" s="60">
        <f>(2*2+2.35*2)</f>
        <v>8.6999999999999993</v>
      </c>
      <c r="E153" s="60">
        <v>2.5</v>
      </c>
      <c r="F153" s="60"/>
      <c r="G153" s="57"/>
      <c r="H153" s="57"/>
      <c r="I153" s="60">
        <v>1</v>
      </c>
      <c r="J153" s="60">
        <f t="shared" si="13"/>
        <v>21.75</v>
      </c>
      <c r="K153" s="125"/>
    </row>
    <row r="154" spans="1:11" ht="15.75" x14ac:dyDescent="0.25">
      <c r="A154" s="123" t="s">
        <v>12</v>
      </c>
      <c r="B154" s="124"/>
      <c r="C154" s="124"/>
      <c r="D154" s="124"/>
      <c r="E154" s="124"/>
      <c r="F154" s="124"/>
      <c r="G154" s="124"/>
      <c r="H154" s="124"/>
      <c r="I154" s="124"/>
      <c r="J154" s="13">
        <f>ROUND(SUM(J150:J153),2)</f>
        <v>55.17</v>
      </c>
      <c r="K154" s="126"/>
    </row>
    <row r="155" spans="1:11" ht="15.75" x14ac:dyDescent="0.25">
      <c r="A155" s="127"/>
      <c r="B155" s="128"/>
      <c r="C155" s="128"/>
      <c r="D155" s="128"/>
      <c r="E155" s="128"/>
      <c r="F155" s="128"/>
      <c r="G155" s="128"/>
      <c r="H155" s="128"/>
      <c r="I155" s="128"/>
      <c r="J155" s="128"/>
      <c r="K155" s="129"/>
    </row>
    <row r="156" spans="1:11" ht="15.75" x14ac:dyDescent="0.25">
      <c r="A156" s="51" t="s">
        <v>3</v>
      </c>
      <c r="B156" s="59" t="s">
        <v>237</v>
      </c>
      <c r="C156" s="118" t="str">
        <f>'PLANILHA ORÇAMENTÁRIA '!C35</f>
        <v>SOLEIRA DE GRANITO, COR CINZA ANDORINHA, ESP. 2CM, ACABAMENTO POLIDO, ASSENTAMENTO COM ARGAMASSA INDUSTRIALIZADA, INCLUSIVE REJUNTAMENTO</v>
      </c>
      <c r="D156" s="119"/>
      <c r="E156" s="119"/>
      <c r="F156" s="119"/>
      <c r="G156" s="119"/>
      <c r="H156" s="119"/>
      <c r="I156" s="119"/>
      <c r="J156" s="119"/>
      <c r="K156" s="120"/>
    </row>
    <row r="157" spans="1:11" ht="15.75" x14ac:dyDescent="0.25">
      <c r="A157" s="121" t="s">
        <v>4</v>
      </c>
      <c r="B157" s="122"/>
      <c r="C157" s="59"/>
      <c r="D157" s="59" t="s">
        <v>5</v>
      </c>
      <c r="E157" s="59" t="s">
        <v>32</v>
      </c>
      <c r="F157" s="59"/>
      <c r="G157" s="59"/>
      <c r="H157" s="59"/>
      <c r="I157" s="59" t="s">
        <v>6</v>
      </c>
      <c r="J157" s="59" t="s">
        <v>19</v>
      </c>
      <c r="K157" s="11" t="s">
        <v>7</v>
      </c>
    </row>
    <row r="158" spans="1:11" ht="15.75" x14ac:dyDescent="0.25">
      <c r="A158" s="123" t="s">
        <v>165</v>
      </c>
      <c r="B158" s="124"/>
      <c r="C158" s="57" t="s">
        <v>53</v>
      </c>
      <c r="D158" s="60">
        <v>0.9</v>
      </c>
      <c r="E158" s="60">
        <v>0.15</v>
      </c>
      <c r="F158" s="60"/>
      <c r="G158" s="57"/>
      <c r="H158" s="57"/>
      <c r="I158" s="60">
        <v>2</v>
      </c>
      <c r="J158" s="60">
        <f t="shared" ref="J158:J159" si="14">ROUND(SUM(D158*E158*I158),2)</f>
        <v>0.27</v>
      </c>
      <c r="K158" s="126"/>
    </row>
    <row r="159" spans="1:11" ht="15.75" x14ac:dyDescent="0.25">
      <c r="A159" s="123" t="s">
        <v>422</v>
      </c>
      <c r="B159" s="124"/>
      <c r="C159" s="79"/>
      <c r="D159" s="80">
        <v>1.6</v>
      </c>
      <c r="E159" s="80">
        <v>0.15</v>
      </c>
      <c r="F159" s="80"/>
      <c r="G159" s="79"/>
      <c r="H159" s="79"/>
      <c r="I159" s="80">
        <v>1</v>
      </c>
      <c r="J159" s="80">
        <f t="shared" si="14"/>
        <v>0.24</v>
      </c>
      <c r="K159" s="126"/>
    </row>
    <row r="160" spans="1:11" ht="15.75" x14ac:dyDescent="0.25">
      <c r="A160" s="123" t="s">
        <v>12</v>
      </c>
      <c r="B160" s="124"/>
      <c r="C160" s="124"/>
      <c r="D160" s="124"/>
      <c r="E160" s="124"/>
      <c r="F160" s="124"/>
      <c r="G160" s="124"/>
      <c r="H160" s="124"/>
      <c r="I160" s="124"/>
      <c r="J160" s="13">
        <f>ROUND(SUM(J158:J159),2)</f>
        <v>0.51</v>
      </c>
      <c r="K160" s="126"/>
    </row>
    <row r="161" spans="1:11" ht="15.75" x14ac:dyDescent="0.25">
      <c r="A161" s="127"/>
      <c r="B161" s="128"/>
      <c r="C161" s="128"/>
      <c r="D161" s="128"/>
      <c r="E161" s="128"/>
      <c r="F161" s="128"/>
      <c r="G161" s="128"/>
      <c r="H161" s="128"/>
      <c r="I161" s="128"/>
      <c r="J161" s="128"/>
      <c r="K161" s="129"/>
    </row>
    <row r="162" spans="1:11" ht="15.75" x14ac:dyDescent="0.25">
      <c r="A162" s="142" t="s">
        <v>62</v>
      </c>
      <c r="B162" s="143"/>
      <c r="C162" s="144" t="s">
        <v>36</v>
      </c>
      <c r="D162" s="145"/>
      <c r="E162" s="145"/>
      <c r="F162" s="145"/>
      <c r="G162" s="145"/>
      <c r="H162" s="145"/>
      <c r="I162" s="145"/>
      <c r="J162" s="145"/>
      <c r="K162" s="146"/>
    </row>
    <row r="163" spans="1:11" ht="15.75" x14ac:dyDescent="0.25">
      <c r="A163" s="51" t="s">
        <v>3</v>
      </c>
      <c r="B163" s="59" t="s">
        <v>63</v>
      </c>
      <c r="C163" s="118" t="str">
        <f>'PLANILHA ORÇAMENTÁRIA '!C37</f>
        <v>LIXAMENTO MANUAL EM PAREDE PARA REMOÇÃO DE TINTA</v>
      </c>
      <c r="D163" s="119"/>
      <c r="E163" s="119"/>
      <c r="F163" s="119"/>
      <c r="G163" s="119"/>
      <c r="H163" s="119"/>
      <c r="I163" s="119"/>
      <c r="J163" s="119"/>
      <c r="K163" s="120"/>
    </row>
    <row r="164" spans="1:11" ht="15.75" x14ac:dyDescent="0.25">
      <c r="A164" s="121" t="s">
        <v>4</v>
      </c>
      <c r="B164" s="122"/>
      <c r="C164" s="59"/>
      <c r="D164" s="59" t="s">
        <v>5</v>
      </c>
      <c r="E164" s="59" t="s">
        <v>27</v>
      </c>
      <c r="F164" s="59"/>
      <c r="G164" s="59"/>
      <c r="H164" s="59"/>
      <c r="I164" s="59" t="s">
        <v>6</v>
      </c>
      <c r="J164" s="59" t="s">
        <v>19</v>
      </c>
      <c r="K164" s="11" t="s">
        <v>7</v>
      </c>
    </row>
    <row r="165" spans="1:11" ht="15.75" x14ac:dyDescent="0.25">
      <c r="A165" s="123" t="s">
        <v>380</v>
      </c>
      <c r="B165" s="124"/>
      <c r="C165" s="57" t="s">
        <v>384</v>
      </c>
      <c r="D165" s="60">
        <f>9.9*2+11.35*2+8*2</f>
        <v>58.5</v>
      </c>
      <c r="E165" s="60">
        <v>2.7</v>
      </c>
      <c r="F165" s="14"/>
      <c r="G165" s="57"/>
      <c r="H165" s="57"/>
      <c r="I165" s="60">
        <v>1</v>
      </c>
      <c r="J165" s="60">
        <f>ROUND(SUM(((D165*E165)-(F165))*I165),2)</f>
        <v>157.94999999999999</v>
      </c>
      <c r="K165" s="125"/>
    </row>
    <row r="166" spans="1:11" ht="15.75" x14ac:dyDescent="0.25">
      <c r="A166" s="123" t="s">
        <v>381</v>
      </c>
      <c r="B166" s="124"/>
      <c r="C166" s="70" t="s">
        <v>385</v>
      </c>
      <c r="D166" s="60">
        <f>11.35*2+4.8*4+3*4</f>
        <v>53.9</v>
      </c>
      <c r="E166" s="60">
        <v>2.5</v>
      </c>
      <c r="F166" s="14"/>
      <c r="G166" s="70"/>
      <c r="H166" s="70"/>
      <c r="I166" s="60">
        <v>1</v>
      </c>
      <c r="J166" s="60">
        <f t="shared" ref="J166:J167" si="15">ROUND(SUM(((D166*E166)-(F166))*I166),2)</f>
        <v>134.75</v>
      </c>
      <c r="K166" s="125"/>
    </row>
    <row r="167" spans="1:11" ht="15.75" x14ac:dyDescent="0.25">
      <c r="A167" s="123" t="s">
        <v>382</v>
      </c>
      <c r="B167" s="124"/>
      <c r="C167" s="70" t="s">
        <v>383</v>
      </c>
      <c r="D167" s="60">
        <f>11.35+11.35+15.15+15.15</f>
        <v>53</v>
      </c>
      <c r="E167" s="60">
        <v>3</v>
      </c>
      <c r="F167" s="14"/>
      <c r="G167" s="70"/>
      <c r="H167" s="70"/>
      <c r="I167" s="60">
        <v>1</v>
      </c>
      <c r="J167" s="60">
        <f t="shared" si="15"/>
        <v>159</v>
      </c>
      <c r="K167" s="125"/>
    </row>
    <row r="168" spans="1:11" ht="15.75" x14ac:dyDescent="0.25">
      <c r="A168" s="123" t="s">
        <v>12</v>
      </c>
      <c r="B168" s="124"/>
      <c r="C168" s="124"/>
      <c r="D168" s="124"/>
      <c r="E168" s="124"/>
      <c r="F168" s="124"/>
      <c r="G168" s="124"/>
      <c r="H168" s="124"/>
      <c r="I168" s="124"/>
      <c r="J168" s="13">
        <f>ROUND(SUM(J165:J167),2)</f>
        <v>451.7</v>
      </c>
      <c r="K168" s="126"/>
    </row>
    <row r="169" spans="1:11" ht="15.75" x14ac:dyDescent="0.25">
      <c r="A169" s="127"/>
      <c r="B169" s="128"/>
      <c r="C169" s="128"/>
      <c r="D169" s="128"/>
      <c r="E169" s="128"/>
      <c r="F169" s="128"/>
      <c r="G169" s="128"/>
      <c r="H169" s="128"/>
      <c r="I169" s="128"/>
      <c r="J169" s="128"/>
      <c r="K169" s="129"/>
    </row>
    <row r="170" spans="1:11" ht="15.75" x14ac:dyDescent="0.25">
      <c r="A170" s="72" t="s">
        <v>3</v>
      </c>
      <c r="B170" s="72" t="s">
        <v>64</v>
      </c>
      <c r="C170" s="135" t="str">
        <f>'PLANILHA ORÇAMENTÁRIA '!C38</f>
        <v>FUNDO SELADOR ACRÍLICO, APLICAÇÃO MANUAL EM PAREDE, UMA DEMÃO. AF_04/2023</v>
      </c>
      <c r="D170" s="135"/>
      <c r="E170" s="135"/>
      <c r="F170" s="135"/>
      <c r="G170" s="135"/>
      <c r="H170" s="135"/>
      <c r="I170" s="135"/>
      <c r="J170" s="135"/>
      <c r="K170" s="135"/>
    </row>
    <row r="171" spans="1:11" ht="15.75" x14ac:dyDescent="0.25">
      <c r="A171" s="151" t="s">
        <v>4</v>
      </c>
      <c r="B171" s="151"/>
      <c r="C171" s="72"/>
      <c r="D171" s="72" t="s">
        <v>5</v>
      </c>
      <c r="E171" s="72" t="s">
        <v>27</v>
      </c>
      <c r="F171" s="72"/>
      <c r="G171" s="72"/>
      <c r="H171" s="72"/>
      <c r="I171" s="72" t="s">
        <v>6</v>
      </c>
      <c r="J171" s="72" t="s">
        <v>19</v>
      </c>
      <c r="K171" s="72" t="s">
        <v>7</v>
      </c>
    </row>
    <row r="172" spans="1:11" ht="15.75" x14ac:dyDescent="0.25">
      <c r="A172" s="124" t="s">
        <v>204</v>
      </c>
      <c r="B172" s="124"/>
      <c r="C172" s="70" t="s">
        <v>391</v>
      </c>
      <c r="D172" s="60">
        <f>3.5+3+5.5</f>
        <v>12</v>
      </c>
      <c r="E172" s="60">
        <v>2.7</v>
      </c>
      <c r="F172" s="14"/>
      <c r="G172" s="70"/>
      <c r="H172" s="70"/>
      <c r="I172" s="60">
        <v>1</v>
      </c>
      <c r="J172" s="60">
        <f>ROUND(SUM(D172*E172*I172),2)</f>
        <v>32.4</v>
      </c>
      <c r="K172" s="152"/>
    </row>
    <row r="173" spans="1:11" ht="15.75" x14ac:dyDescent="0.25">
      <c r="A173" s="124" t="s">
        <v>205</v>
      </c>
      <c r="B173" s="124"/>
      <c r="C173" s="70" t="s">
        <v>392</v>
      </c>
      <c r="D173" s="60">
        <f>1.5+1.86+1.5</f>
        <v>4.8600000000000003</v>
      </c>
      <c r="E173" s="60">
        <v>2.7</v>
      </c>
      <c r="F173" s="14"/>
      <c r="G173" s="70"/>
      <c r="H173" s="70"/>
      <c r="I173" s="60">
        <v>1</v>
      </c>
      <c r="J173" s="60">
        <f t="shared" ref="J173:J186" si="16">ROUND(SUM(D173*E173*I173),2)</f>
        <v>13.12</v>
      </c>
      <c r="K173" s="152"/>
    </row>
    <row r="174" spans="1:11" ht="15.75" x14ac:dyDescent="0.25">
      <c r="A174" s="124" t="s">
        <v>386</v>
      </c>
      <c r="B174" s="124"/>
      <c r="C174" s="70" t="s">
        <v>393</v>
      </c>
      <c r="D174" s="60">
        <f>5.4+3+5.4+3</f>
        <v>16.8</v>
      </c>
      <c r="E174" s="60">
        <v>2.7</v>
      </c>
      <c r="F174" s="14"/>
      <c r="G174" s="70"/>
      <c r="H174" s="70"/>
      <c r="I174" s="60">
        <v>1</v>
      </c>
      <c r="J174" s="60">
        <f t="shared" si="16"/>
        <v>45.36</v>
      </c>
      <c r="K174" s="152"/>
    </row>
    <row r="175" spans="1:11" ht="15.75" x14ac:dyDescent="0.25">
      <c r="A175" s="124" t="s">
        <v>217</v>
      </c>
      <c r="B175" s="124"/>
      <c r="C175" s="70" t="s">
        <v>394</v>
      </c>
      <c r="D175" s="60">
        <f>3.31+3.31+4.06+4.06</f>
        <v>14.739999999999998</v>
      </c>
      <c r="E175" s="60">
        <v>2.7</v>
      </c>
      <c r="F175" s="14"/>
      <c r="G175" s="70"/>
      <c r="H175" s="70"/>
      <c r="I175" s="60">
        <v>1</v>
      </c>
      <c r="J175" s="60">
        <f t="shared" si="16"/>
        <v>39.799999999999997</v>
      </c>
      <c r="K175" s="152"/>
    </row>
    <row r="176" spans="1:11" ht="15.75" x14ac:dyDescent="0.25">
      <c r="A176" s="124" t="s">
        <v>218</v>
      </c>
      <c r="B176" s="124"/>
      <c r="C176" s="70" t="s">
        <v>395</v>
      </c>
      <c r="D176" s="60">
        <f>3.32+3.32+4.06+4.06</f>
        <v>14.759999999999998</v>
      </c>
      <c r="E176" s="60">
        <v>2.7</v>
      </c>
      <c r="F176" s="14"/>
      <c r="G176" s="70"/>
      <c r="H176" s="70"/>
      <c r="I176" s="60">
        <v>1</v>
      </c>
      <c r="J176" s="60">
        <f t="shared" si="16"/>
        <v>39.85</v>
      </c>
      <c r="K176" s="152"/>
    </row>
    <row r="177" spans="1:11" ht="15.75" x14ac:dyDescent="0.25">
      <c r="A177" s="124" t="s">
        <v>387</v>
      </c>
      <c r="B177" s="124"/>
      <c r="C177" s="70" t="s">
        <v>396</v>
      </c>
      <c r="D177" s="60">
        <f>6.76+1.2+4.94</f>
        <v>12.9</v>
      </c>
      <c r="E177" s="60">
        <v>2.7</v>
      </c>
      <c r="F177" s="14"/>
      <c r="G177" s="70"/>
      <c r="H177" s="70"/>
      <c r="I177" s="60">
        <v>1</v>
      </c>
      <c r="J177" s="60">
        <f t="shared" si="16"/>
        <v>34.83</v>
      </c>
      <c r="K177" s="152"/>
    </row>
    <row r="178" spans="1:11" ht="15.75" x14ac:dyDescent="0.25">
      <c r="A178" s="124" t="s">
        <v>388</v>
      </c>
      <c r="B178" s="124"/>
      <c r="C178" s="70" t="s">
        <v>397</v>
      </c>
      <c r="D178" s="60">
        <f>3+3+4.16+4.16</f>
        <v>14.32</v>
      </c>
      <c r="E178" s="60">
        <v>2.7</v>
      </c>
      <c r="F178" s="14"/>
      <c r="G178" s="70"/>
      <c r="H178" s="70"/>
      <c r="I178" s="60">
        <v>1</v>
      </c>
      <c r="J178" s="60">
        <f t="shared" si="16"/>
        <v>38.659999999999997</v>
      </c>
      <c r="K178" s="152"/>
    </row>
    <row r="179" spans="1:11" ht="15.75" x14ac:dyDescent="0.25">
      <c r="A179" s="124" t="s">
        <v>366</v>
      </c>
      <c r="B179" s="124"/>
      <c r="C179" s="70" t="s">
        <v>398</v>
      </c>
      <c r="D179" s="60">
        <f>6.76+1.2+3.14+4.3+1.8+6.85</f>
        <v>24.049999999999997</v>
      </c>
      <c r="E179" s="60">
        <v>2.7</v>
      </c>
      <c r="F179" s="14"/>
      <c r="G179" s="70"/>
      <c r="H179" s="70"/>
      <c r="I179" s="60">
        <v>1</v>
      </c>
      <c r="J179" s="60">
        <f t="shared" si="16"/>
        <v>64.94</v>
      </c>
      <c r="K179" s="152"/>
    </row>
    <row r="180" spans="1:11" ht="15.75" x14ac:dyDescent="0.25">
      <c r="A180" s="124" t="s">
        <v>389</v>
      </c>
      <c r="B180" s="124"/>
      <c r="C180" s="70" t="s">
        <v>399</v>
      </c>
      <c r="D180" s="60">
        <f>2.3+2.3+2+2</f>
        <v>8.6</v>
      </c>
      <c r="E180" s="60">
        <f>2.5-1.8</f>
        <v>0.7</v>
      </c>
      <c r="F180" s="14"/>
      <c r="G180" s="70"/>
      <c r="H180" s="70"/>
      <c r="I180" s="60">
        <v>1</v>
      </c>
      <c r="J180" s="60">
        <f t="shared" si="16"/>
        <v>6.02</v>
      </c>
      <c r="K180" s="152"/>
    </row>
    <row r="181" spans="1:11" ht="15.75" x14ac:dyDescent="0.25">
      <c r="A181" s="124" t="s">
        <v>367</v>
      </c>
      <c r="B181" s="124"/>
      <c r="C181" s="70" t="s">
        <v>400</v>
      </c>
      <c r="D181" s="60">
        <f>2.35+2.35+2+2</f>
        <v>8.6999999999999993</v>
      </c>
      <c r="E181" s="60">
        <v>0.7</v>
      </c>
      <c r="F181" s="14"/>
      <c r="G181" s="70"/>
      <c r="H181" s="70"/>
      <c r="I181" s="60">
        <v>1</v>
      </c>
      <c r="J181" s="60">
        <f t="shared" si="16"/>
        <v>6.09</v>
      </c>
      <c r="K181" s="152"/>
    </row>
    <row r="182" spans="1:11" ht="15.75" x14ac:dyDescent="0.25">
      <c r="A182" s="124" t="s">
        <v>368</v>
      </c>
      <c r="B182" s="124"/>
      <c r="C182" s="70" t="s">
        <v>401</v>
      </c>
      <c r="D182" s="60">
        <f>2.06+2.06+1.24+1.24</f>
        <v>6.6000000000000005</v>
      </c>
      <c r="E182" s="60">
        <v>2.5</v>
      </c>
      <c r="F182" s="14"/>
      <c r="G182" s="70"/>
      <c r="H182" s="70"/>
      <c r="I182" s="60">
        <v>1</v>
      </c>
      <c r="J182" s="60">
        <f t="shared" si="16"/>
        <v>16.5</v>
      </c>
      <c r="K182" s="152"/>
    </row>
    <row r="183" spans="1:11" ht="15.75" x14ac:dyDescent="0.25">
      <c r="A183" s="124" t="s">
        <v>369</v>
      </c>
      <c r="B183" s="124"/>
      <c r="C183" s="70" t="s">
        <v>402</v>
      </c>
      <c r="D183" s="60">
        <f>4.8*2+5.75*2</f>
        <v>21.1</v>
      </c>
      <c r="E183" s="60">
        <v>2.5</v>
      </c>
      <c r="F183" s="60"/>
      <c r="G183" s="70"/>
      <c r="H183" s="70"/>
      <c r="I183" s="60">
        <v>1</v>
      </c>
      <c r="J183" s="60">
        <f t="shared" si="16"/>
        <v>52.75</v>
      </c>
      <c r="K183" s="152"/>
    </row>
    <row r="184" spans="1:11" ht="15.75" x14ac:dyDescent="0.25">
      <c r="A184" s="124" t="s">
        <v>210</v>
      </c>
      <c r="B184" s="124"/>
      <c r="C184" s="70" t="s">
        <v>403</v>
      </c>
      <c r="D184" s="60">
        <f>3*2+1.4*2</f>
        <v>8.8000000000000007</v>
      </c>
      <c r="E184" s="60">
        <v>2.5</v>
      </c>
      <c r="F184" s="60"/>
      <c r="G184" s="70"/>
      <c r="H184" s="70"/>
      <c r="I184" s="60">
        <v>1</v>
      </c>
      <c r="J184" s="60">
        <f t="shared" si="16"/>
        <v>22</v>
      </c>
      <c r="K184" s="152"/>
    </row>
    <row r="185" spans="1:11" ht="15.75" x14ac:dyDescent="0.25">
      <c r="A185" s="124" t="s">
        <v>212</v>
      </c>
      <c r="B185" s="124"/>
      <c r="C185" s="70" t="s">
        <v>404</v>
      </c>
      <c r="D185" s="60">
        <f>3.25*2+3*2</f>
        <v>12.5</v>
      </c>
      <c r="E185" s="60">
        <v>2.5</v>
      </c>
      <c r="F185" s="60"/>
      <c r="G185" s="70"/>
      <c r="H185" s="70"/>
      <c r="I185" s="60">
        <v>1</v>
      </c>
      <c r="J185" s="60">
        <f t="shared" si="16"/>
        <v>31.25</v>
      </c>
      <c r="K185" s="152"/>
    </row>
    <row r="186" spans="1:11" ht="15.75" x14ac:dyDescent="0.25">
      <c r="A186" s="124" t="s">
        <v>390</v>
      </c>
      <c r="B186" s="124"/>
      <c r="C186" s="70" t="s">
        <v>405</v>
      </c>
      <c r="D186" s="60">
        <f>11.35*2+15.15*2</f>
        <v>53</v>
      </c>
      <c r="E186" s="60">
        <v>3</v>
      </c>
      <c r="F186" s="60"/>
      <c r="G186" s="70"/>
      <c r="H186" s="70"/>
      <c r="I186" s="60">
        <v>1</v>
      </c>
      <c r="J186" s="60">
        <f t="shared" si="16"/>
        <v>159</v>
      </c>
      <c r="K186" s="152"/>
    </row>
    <row r="187" spans="1:11" ht="15.75" x14ac:dyDescent="0.25">
      <c r="A187" s="124" t="s">
        <v>12</v>
      </c>
      <c r="B187" s="124"/>
      <c r="C187" s="124"/>
      <c r="D187" s="124"/>
      <c r="E187" s="124"/>
      <c r="F187" s="124"/>
      <c r="G187" s="124"/>
      <c r="H187" s="124"/>
      <c r="I187" s="124"/>
      <c r="J187" s="13">
        <f>ROUND(SUM(J172:J186),2)</f>
        <v>602.57000000000005</v>
      </c>
      <c r="K187" s="124"/>
    </row>
    <row r="188" spans="1:11" ht="15.75" x14ac:dyDescent="0.25">
      <c r="A188" s="127"/>
      <c r="B188" s="128"/>
      <c r="C188" s="128"/>
      <c r="D188" s="128"/>
      <c r="E188" s="128"/>
      <c r="F188" s="128"/>
      <c r="G188" s="128"/>
      <c r="H188" s="128"/>
      <c r="I188" s="128"/>
      <c r="J188" s="128"/>
      <c r="K188" s="129"/>
    </row>
    <row r="189" spans="1:11" ht="15.75" x14ac:dyDescent="0.25">
      <c r="A189" s="51" t="s">
        <v>3</v>
      </c>
      <c r="B189" s="59" t="s">
        <v>65</v>
      </c>
      <c r="C189" s="118" t="str">
        <f>'PLANILHA ORÇAMENTÁRIA '!C39</f>
        <v>EMASSAMENTO COM MASSA LÁTEX, APLICAÇÃO EM PAREDE, UMA DEMÃO, LIXAMENTO MANUAL. AF_04/2023</v>
      </c>
      <c r="D189" s="119"/>
      <c r="E189" s="119"/>
      <c r="F189" s="119"/>
      <c r="G189" s="119"/>
      <c r="H189" s="119"/>
      <c r="I189" s="119"/>
      <c r="J189" s="119"/>
      <c r="K189" s="120"/>
    </row>
    <row r="190" spans="1:11" ht="15.75" x14ac:dyDescent="0.25">
      <c r="A190" s="121" t="s">
        <v>4</v>
      </c>
      <c r="B190" s="122"/>
      <c r="C190" s="59"/>
      <c r="D190" s="59" t="s">
        <v>5</v>
      </c>
      <c r="E190" s="59" t="s">
        <v>27</v>
      </c>
      <c r="F190" s="59"/>
      <c r="G190" s="59"/>
      <c r="H190" s="59"/>
      <c r="I190" s="59" t="s">
        <v>6</v>
      </c>
      <c r="J190" s="59" t="s">
        <v>19</v>
      </c>
      <c r="K190" s="11" t="s">
        <v>7</v>
      </c>
    </row>
    <row r="191" spans="1:11" ht="15.75" x14ac:dyDescent="0.25">
      <c r="A191" s="173" t="s">
        <v>406</v>
      </c>
      <c r="B191" s="124"/>
      <c r="C191" s="57"/>
      <c r="D191" s="60">
        <f>J72</f>
        <v>97.96</v>
      </c>
      <c r="E191" s="60">
        <v>2.7</v>
      </c>
      <c r="F191" s="14"/>
      <c r="G191" s="57"/>
      <c r="H191" s="57"/>
      <c r="I191" s="60">
        <v>1</v>
      </c>
      <c r="J191" s="60">
        <f>ROUND(SUM(D191*E191*I191),2)</f>
        <v>264.49</v>
      </c>
      <c r="K191" s="125"/>
    </row>
    <row r="192" spans="1:11" ht="15.75" x14ac:dyDescent="0.25">
      <c r="A192" s="116" t="s">
        <v>12</v>
      </c>
      <c r="B192" s="132"/>
      <c r="C192" s="132"/>
      <c r="D192" s="132"/>
      <c r="E192" s="132"/>
      <c r="F192" s="132"/>
      <c r="G192" s="132"/>
      <c r="H192" s="132"/>
      <c r="I192" s="117"/>
      <c r="J192" s="13">
        <f>ROUND(SUM(J191:J191),2)</f>
        <v>264.49</v>
      </c>
      <c r="K192" s="126"/>
    </row>
    <row r="193" spans="1:11" ht="15.75" x14ac:dyDescent="0.25">
      <c r="A193" s="127"/>
      <c r="B193" s="128"/>
      <c r="C193" s="128"/>
      <c r="D193" s="128"/>
      <c r="E193" s="128"/>
      <c r="F193" s="128"/>
      <c r="G193" s="128"/>
      <c r="H193" s="128"/>
      <c r="I193" s="128"/>
      <c r="J193" s="128"/>
      <c r="K193" s="129"/>
    </row>
    <row r="194" spans="1:11" ht="15.75" x14ac:dyDescent="0.25">
      <c r="A194" s="72" t="s">
        <v>3</v>
      </c>
      <c r="B194" s="72" t="s">
        <v>66</v>
      </c>
      <c r="C194" s="135" t="str">
        <f>'PLANILHA ORÇAMENTÁRIA '!C40</f>
        <v>PINTURA LÁTEX ACRÍLICA ECONÔMICA, APLICAÇÃO MANUAL EM PAREDES, DUAS DEMÃOS. AF_04/2023</v>
      </c>
      <c r="D194" s="135"/>
      <c r="E194" s="135"/>
      <c r="F194" s="135"/>
      <c r="G194" s="135"/>
      <c r="H194" s="135"/>
      <c r="I194" s="135"/>
      <c r="J194" s="135"/>
      <c r="K194" s="135"/>
    </row>
    <row r="195" spans="1:11" ht="15.75" x14ac:dyDescent="0.25">
      <c r="A195" s="151" t="s">
        <v>4</v>
      </c>
      <c r="B195" s="151"/>
      <c r="C195" s="72"/>
      <c r="D195" s="72" t="s">
        <v>5</v>
      </c>
      <c r="E195" s="72" t="s">
        <v>27</v>
      </c>
      <c r="F195" s="72"/>
      <c r="G195" s="72"/>
      <c r="H195" s="72"/>
      <c r="I195" s="72" t="s">
        <v>6</v>
      </c>
      <c r="J195" s="72" t="s">
        <v>19</v>
      </c>
      <c r="K195" s="72" t="s">
        <v>7</v>
      </c>
    </row>
    <row r="196" spans="1:11" ht="15.75" x14ac:dyDescent="0.25">
      <c r="A196" s="124" t="str">
        <f>A172</f>
        <v>COPA</v>
      </c>
      <c r="B196" s="124"/>
      <c r="C196" s="70"/>
      <c r="D196" s="60">
        <f>D172</f>
        <v>12</v>
      </c>
      <c r="E196" s="60">
        <f>E172</f>
        <v>2.7</v>
      </c>
      <c r="F196" s="14"/>
      <c r="G196" s="70"/>
      <c r="H196" s="70"/>
      <c r="I196" s="60">
        <f>I172</f>
        <v>1</v>
      </c>
      <c r="J196" s="60">
        <f>ROUND(SUM(D196*E196*I196),2)</f>
        <v>32.4</v>
      </c>
      <c r="K196" s="152"/>
    </row>
    <row r="197" spans="1:11" ht="15.75" x14ac:dyDescent="0.25">
      <c r="A197" s="124" t="str">
        <f t="shared" ref="A197:A210" si="17">A173</f>
        <v>DML</v>
      </c>
      <c r="B197" s="124"/>
      <c r="C197" s="70"/>
      <c r="D197" s="60">
        <f t="shared" ref="D197:E210" si="18">D173</f>
        <v>4.8600000000000003</v>
      </c>
      <c r="E197" s="60">
        <f t="shared" si="18"/>
        <v>2.7</v>
      </c>
      <c r="F197" s="14"/>
      <c r="G197" s="70"/>
      <c r="H197" s="70"/>
      <c r="I197" s="60">
        <f t="shared" ref="I197:I210" si="19">I173</f>
        <v>1</v>
      </c>
      <c r="J197" s="60">
        <f t="shared" ref="J197:J210" si="20">ROUND(SUM(D197*E197*I197),2)</f>
        <v>13.12</v>
      </c>
      <c r="K197" s="152"/>
    </row>
    <row r="198" spans="1:11" ht="15.75" x14ac:dyDescent="0.25">
      <c r="A198" s="124" t="str">
        <f t="shared" si="17"/>
        <v xml:space="preserve">SALA DA COORDENAÇÃO </v>
      </c>
      <c r="B198" s="124"/>
      <c r="C198" s="70"/>
      <c r="D198" s="60">
        <f t="shared" si="18"/>
        <v>16.8</v>
      </c>
      <c r="E198" s="60">
        <f t="shared" si="18"/>
        <v>2.7</v>
      </c>
      <c r="F198" s="14"/>
      <c r="G198" s="70"/>
      <c r="H198" s="70"/>
      <c r="I198" s="60">
        <f t="shared" si="19"/>
        <v>1</v>
      </c>
      <c r="J198" s="60">
        <f t="shared" si="20"/>
        <v>45.36</v>
      </c>
      <c r="K198" s="152"/>
    </row>
    <row r="199" spans="1:11" ht="15.75" x14ac:dyDescent="0.25">
      <c r="A199" s="124" t="str">
        <f t="shared" si="17"/>
        <v>SUDESE/SINE H=3,05M</v>
      </c>
      <c r="B199" s="124"/>
      <c r="C199" s="70"/>
      <c r="D199" s="60">
        <f t="shared" si="18"/>
        <v>14.739999999999998</v>
      </c>
      <c r="E199" s="60">
        <f t="shared" si="18"/>
        <v>2.7</v>
      </c>
      <c r="F199" s="14"/>
      <c r="G199" s="70"/>
      <c r="H199" s="70"/>
      <c r="I199" s="60">
        <f t="shared" si="19"/>
        <v>1</v>
      </c>
      <c r="J199" s="60">
        <f t="shared" si="20"/>
        <v>39.799999999999997</v>
      </c>
      <c r="K199" s="152"/>
    </row>
    <row r="200" spans="1:11" ht="15.75" x14ac:dyDescent="0.25">
      <c r="A200" s="124" t="str">
        <f t="shared" si="17"/>
        <v>IIMG  H=3,05M</v>
      </c>
      <c r="B200" s="124"/>
      <c r="C200" s="70"/>
      <c r="D200" s="60">
        <f t="shared" si="18"/>
        <v>14.759999999999998</v>
      </c>
      <c r="E200" s="60">
        <f t="shared" si="18"/>
        <v>2.7</v>
      </c>
      <c r="F200" s="14"/>
      <c r="G200" s="70"/>
      <c r="H200" s="70"/>
      <c r="I200" s="60">
        <f t="shared" si="19"/>
        <v>1</v>
      </c>
      <c r="J200" s="60">
        <f t="shared" si="20"/>
        <v>39.85</v>
      </c>
      <c r="K200" s="152"/>
    </row>
    <row r="201" spans="1:11" ht="15.75" x14ac:dyDescent="0.25">
      <c r="A201" s="124" t="str">
        <f t="shared" si="17"/>
        <v xml:space="preserve">CIRCULAÇÃO </v>
      </c>
      <c r="B201" s="124"/>
      <c r="C201" s="73"/>
      <c r="D201" s="60">
        <f t="shared" si="18"/>
        <v>12.9</v>
      </c>
      <c r="E201" s="60">
        <f t="shared" si="18"/>
        <v>2.7</v>
      </c>
      <c r="F201" s="14"/>
      <c r="G201" s="70"/>
      <c r="H201" s="70"/>
      <c r="I201" s="60">
        <f t="shared" si="19"/>
        <v>1</v>
      </c>
      <c r="J201" s="60">
        <f t="shared" si="20"/>
        <v>34.83</v>
      </c>
      <c r="K201" s="152"/>
    </row>
    <row r="202" spans="1:11" ht="15.75" x14ac:dyDescent="0.25">
      <c r="A202" s="124" t="str">
        <f t="shared" si="17"/>
        <v>PROVA DO DETRAN</v>
      </c>
      <c r="B202" s="124"/>
      <c r="C202" s="73"/>
      <c r="D202" s="60">
        <f t="shared" si="18"/>
        <v>14.32</v>
      </c>
      <c r="E202" s="60">
        <f t="shared" si="18"/>
        <v>2.7</v>
      </c>
      <c r="F202" s="14"/>
      <c r="G202" s="70"/>
      <c r="H202" s="70"/>
      <c r="I202" s="60">
        <f t="shared" si="19"/>
        <v>1</v>
      </c>
      <c r="J202" s="60">
        <f t="shared" si="20"/>
        <v>38.659999999999997</v>
      </c>
      <c r="K202" s="152"/>
    </row>
    <row r="203" spans="1:11" ht="15.75" x14ac:dyDescent="0.25">
      <c r="A203" s="124" t="str">
        <f t="shared" si="17"/>
        <v xml:space="preserve">SALA DE ATENDIMENTO </v>
      </c>
      <c r="B203" s="124"/>
      <c r="C203" s="70"/>
      <c r="D203" s="60">
        <f t="shared" si="18"/>
        <v>24.049999999999997</v>
      </c>
      <c r="E203" s="60">
        <f t="shared" si="18"/>
        <v>2.7</v>
      </c>
      <c r="F203" s="14"/>
      <c r="G203" s="70"/>
      <c r="H203" s="70"/>
      <c r="I203" s="60">
        <f t="shared" si="19"/>
        <v>1</v>
      </c>
      <c r="J203" s="60">
        <f t="shared" si="20"/>
        <v>64.94</v>
      </c>
      <c r="K203" s="152"/>
    </row>
    <row r="204" spans="1:11" ht="15.75" customHeight="1" x14ac:dyDescent="0.25">
      <c r="A204" s="124" t="str">
        <f t="shared" si="17"/>
        <v>W.C. FEM</v>
      </c>
      <c r="B204" s="124"/>
      <c r="C204" s="70"/>
      <c r="D204" s="60">
        <f t="shared" si="18"/>
        <v>8.6</v>
      </c>
      <c r="E204" s="60">
        <f t="shared" si="18"/>
        <v>0.7</v>
      </c>
      <c r="F204" s="14"/>
      <c r="G204" s="70"/>
      <c r="H204" s="70"/>
      <c r="I204" s="60">
        <f t="shared" si="19"/>
        <v>1</v>
      </c>
      <c r="J204" s="60">
        <f t="shared" si="20"/>
        <v>6.02</v>
      </c>
      <c r="K204" s="152"/>
    </row>
    <row r="205" spans="1:11" ht="15.75" customHeight="1" x14ac:dyDescent="0.25">
      <c r="A205" s="124" t="str">
        <f t="shared" si="17"/>
        <v>W.C. MASC.</v>
      </c>
      <c r="B205" s="124"/>
      <c r="C205" s="70"/>
      <c r="D205" s="60">
        <f t="shared" si="18"/>
        <v>8.6999999999999993</v>
      </c>
      <c r="E205" s="60">
        <f t="shared" si="18"/>
        <v>0.7</v>
      </c>
      <c r="F205" s="14"/>
      <c r="G205" s="70"/>
      <c r="H205" s="70"/>
      <c r="I205" s="60">
        <f t="shared" si="19"/>
        <v>1</v>
      </c>
      <c r="J205" s="60">
        <f t="shared" si="20"/>
        <v>6.09</v>
      </c>
      <c r="K205" s="152"/>
    </row>
    <row r="206" spans="1:11" ht="15.75" customHeight="1" x14ac:dyDescent="0.25">
      <c r="A206" s="124" t="str">
        <f t="shared" si="17"/>
        <v>RACK</v>
      </c>
      <c r="B206" s="124"/>
      <c r="C206" s="70"/>
      <c r="D206" s="60">
        <f t="shared" si="18"/>
        <v>6.6000000000000005</v>
      </c>
      <c r="E206" s="60">
        <f t="shared" si="18"/>
        <v>2.5</v>
      </c>
      <c r="F206" s="14"/>
      <c r="G206" s="70"/>
      <c r="H206" s="70"/>
      <c r="I206" s="60">
        <f t="shared" si="19"/>
        <v>1</v>
      </c>
      <c r="J206" s="60">
        <f t="shared" si="20"/>
        <v>16.5</v>
      </c>
      <c r="K206" s="152"/>
    </row>
    <row r="207" spans="1:11" ht="15.75" customHeight="1" x14ac:dyDescent="0.25">
      <c r="A207" s="124" t="str">
        <f t="shared" si="17"/>
        <v>SALA DE ESPERA</v>
      </c>
      <c r="B207" s="124"/>
      <c r="C207" s="70"/>
      <c r="D207" s="60">
        <f t="shared" si="18"/>
        <v>21.1</v>
      </c>
      <c r="E207" s="60">
        <f t="shared" si="18"/>
        <v>2.5</v>
      </c>
      <c r="F207" s="60"/>
      <c r="G207" s="70"/>
      <c r="H207" s="70"/>
      <c r="I207" s="60">
        <f t="shared" si="19"/>
        <v>1</v>
      </c>
      <c r="J207" s="60">
        <f t="shared" si="20"/>
        <v>52.75</v>
      </c>
      <c r="K207" s="152"/>
    </row>
    <row r="208" spans="1:11" ht="15.75" customHeight="1" x14ac:dyDescent="0.25">
      <c r="A208" s="124" t="str">
        <f t="shared" si="17"/>
        <v>ALMOXERIFADO</v>
      </c>
      <c r="B208" s="124"/>
      <c r="C208" s="70"/>
      <c r="D208" s="60">
        <f t="shared" si="18"/>
        <v>8.8000000000000007</v>
      </c>
      <c r="E208" s="60">
        <f t="shared" si="18"/>
        <v>2.5</v>
      </c>
      <c r="F208" s="60"/>
      <c r="G208" s="70"/>
      <c r="H208" s="70"/>
      <c r="I208" s="60">
        <f t="shared" si="19"/>
        <v>1</v>
      </c>
      <c r="J208" s="60">
        <f t="shared" si="20"/>
        <v>22</v>
      </c>
      <c r="K208" s="152"/>
    </row>
    <row r="209" spans="1:11" ht="15.75" x14ac:dyDescent="0.25">
      <c r="A209" s="124" t="str">
        <f t="shared" si="17"/>
        <v xml:space="preserve">RECEPÇÃO </v>
      </c>
      <c r="B209" s="124"/>
      <c r="C209" s="70"/>
      <c r="D209" s="60">
        <f t="shared" si="18"/>
        <v>12.5</v>
      </c>
      <c r="E209" s="60">
        <f t="shared" si="18"/>
        <v>2.5</v>
      </c>
      <c r="F209" s="60"/>
      <c r="G209" s="70"/>
      <c r="H209" s="70"/>
      <c r="I209" s="60">
        <f t="shared" si="19"/>
        <v>1</v>
      </c>
      <c r="J209" s="60">
        <f t="shared" si="20"/>
        <v>31.25</v>
      </c>
      <c r="K209" s="152"/>
    </row>
    <row r="210" spans="1:11" ht="15.75" x14ac:dyDescent="0.25">
      <c r="A210" s="124" t="str">
        <f t="shared" si="17"/>
        <v xml:space="preserve">ÁREA EXTERNA </v>
      </c>
      <c r="B210" s="124"/>
      <c r="C210" s="70"/>
      <c r="D210" s="60">
        <f t="shared" si="18"/>
        <v>53</v>
      </c>
      <c r="E210" s="60">
        <f t="shared" si="18"/>
        <v>3</v>
      </c>
      <c r="F210" s="60"/>
      <c r="G210" s="70"/>
      <c r="H210" s="70"/>
      <c r="I210" s="60">
        <f t="shared" si="19"/>
        <v>1</v>
      </c>
      <c r="J210" s="60">
        <f t="shared" si="20"/>
        <v>159</v>
      </c>
      <c r="K210" s="152"/>
    </row>
    <row r="211" spans="1:11" ht="15.75" x14ac:dyDescent="0.25">
      <c r="A211" s="124" t="s">
        <v>12</v>
      </c>
      <c r="B211" s="124"/>
      <c r="C211" s="124"/>
      <c r="D211" s="124"/>
      <c r="E211" s="124"/>
      <c r="F211" s="124"/>
      <c r="G211" s="124"/>
      <c r="H211" s="124"/>
      <c r="I211" s="124"/>
      <c r="J211" s="13">
        <f>ROUND(SUM(J196:J210),2)</f>
        <v>602.57000000000005</v>
      </c>
      <c r="K211" s="124"/>
    </row>
    <row r="212" spans="1:11" ht="15.75" x14ac:dyDescent="0.25">
      <c r="A212" s="127"/>
      <c r="B212" s="128"/>
      <c r="C212" s="128"/>
      <c r="D212" s="128"/>
      <c r="E212" s="128"/>
      <c r="F212" s="128"/>
      <c r="G212" s="128"/>
      <c r="H212" s="128"/>
      <c r="I212" s="128"/>
      <c r="J212" s="128"/>
      <c r="K212" s="129"/>
    </row>
    <row r="213" spans="1:11" ht="15.75" x14ac:dyDescent="0.25">
      <c r="A213" s="51" t="s">
        <v>3</v>
      </c>
      <c r="B213" s="59" t="s">
        <v>67</v>
      </c>
      <c r="C213" s="118" t="str">
        <f>'PLANILHA ORÇAMENTÁRIA '!C41</f>
        <v>EMASSAMENTO EM FORRO DE GESSO COM MASSA CORRIDA (PVA), UMA (1) DEMÃO, INCLUSIVE LIXAMENTO PARA PINTURA</v>
      </c>
      <c r="D213" s="119"/>
      <c r="E213" s="119"/>
      <c r="F213" s="119"/>
      <c r="G213" s="119"/>
      <c r="H213" s="119"/>
      <c r="I213" s="119"/>
      <c r="J213" s="119"/>
      <c r="K213" s="120"/>
    </row>
    <row r="214" spans="1:11" ht="15.75" x14ac:dyDescent="0.25">
      <c r="A214" s="121" t="s">
        <v>4</v>
      </c>
      <c r="B214" s="122"/>
      <c r="C214" s="59"/>
      <c r="D214" s="59" t="s">
        <v>37</v>
      </c>
      <c r="E214" s="59"/>
      <c r="F214" s="59"/>
      <c r="G214" s="59"/>
      <c r="H214" s="59"/>
      <c r="I214" s="59" t="s">
        <v>6</v>
      </c>
      <c r="J214" s="59" t="s">
        <v>19</v>
      </c>
      <c r="K214" s="11" t="s">
        <v>7</v>
      </c>
    </row>
    <row r="215" spans="1:11" ht="15.75" x14ac:dyDescent="0.25">
      <c r="A215" s="130" t="str">
        <f t="shared" ref="A215:A222" si="21">A92</f>
        <v>COPA</v>
      </c>
      <c r="B215" s="131"/>
      <c r="C215" s="57"/>
      <c r="D215" s="60">
        <f t="shared" ref="D215:D222" si="22">D92</f>
        <v>13.23</v>
      </c>
      <c r="E215" s="60"/>
      <c r="F215" s="60"/>
      <c r="G215" s="57"/>
      <c r="H215" s="57"/>
      <c r="I215" s="60">
        <v>1</v>
      </c>
      <c r="J215" s="60">
        <f>ROUND(SUM(D215*I215),2)</f>
        <v>13.23</v>
      </c>
      <c r="K215" s="147"/>
    </row>
    <row r="216" spans="1:11" ht="15.75" x14ac:dyDescent="0.25">
      <c r="A216" s="130" t="str">
        <f t="shared" si="21"/>
        <v>DML</v>
      </c>
      <c r="B216" s="131"/>
      <c r="C216" s="57"/>
      <c r="D216" s="60">
        <f t="shared" si="22"/>
        <v>2.8</v>
      </c>
      <c r="E216" s="60"/>
      <c r="F216" s="60"/>
      <c r="G216" s="57"/>
      <c r="H216" s="57"/>
      <c r="I216" s="60">
        <v>1</v>
      </c>
      <c r="J216" s="60">
        <f t="shared" ref="J216:J222" si="23">ROUND(SUM(D216*I216),2)</f>
        <v>2.8</v>
      </c>
      <c r="K216" s="147"/>
    </row>
    <row r="217" spans="1:11" ht="15.75" x14ac:dyDescent="0.25">
      <c r="A217" s="130" t="str">
        <f t="shared" si="21"/>
        <v>SALA COORDENAÇÃO</v>
      </c>
      <c r="B217" s="131"/>
      <c r="C217" s="57"/>
      <c r="D217" s="60">
        <f t="shared" si="22"/>
        <v>16.2</v>
      </c>
      <c r="E217" s="60"/>
      <c r="F217" s="60"/>
      <c r="G217" s="57"/>
      <c r="H217" s="57"/>
      <c r="I217" s="60">
        <v>1</v>
      </c>
      <c r="J217" s="60">
        <f t="shared" si="23"/>
        <v>16.2</v>
      </c>
      <c r="K217" s="147"/>
    </row>
    <row r="218" spans="1:11" ht="15.75" x14ac:dyDescent="0.25">
      <c r="A218" s="130" t="str">
        <f t="shared" si="21"/>
        <v>SUDESE/SINE</v>
      </c>
      <c r="B218" s="131"/>
      <c r="C218" s="57"/>
      <c r="D218" s="60">
        <f t="shared" si="22"/>
        <v>13.45</v>
      </c>
      <c r="E218" s="60"/>
      <c r="F218" s="60"/>
      <c r="G218" s="57"/>
      <c r="H218" s="57"/>
      <c r="I218" s="60">
        <v>1</v>
      </c>
      <c r="J218" s="60">
        <f t="shared" si="23"/>
        <v>13.45</v>
      </c>
      <c r="K218" s="147"/>
    </row>
    <row r="219" spans="1:11" ht="15.75" customHeight="1" x14ac:dyDescent="0.25">
      <c r="A219" s="130" t="str">
        <f t="shared" si="21"/>
        <v>IIMG</v>
      </c>
      <c r="B219" s="131"/>
      <c r="C219" s="57"/>
      <c r="D219" s="60">
        <f t="shared" si="22"/>
        <v>13.45</v>
      </c>
      <c r="E219" s="60"/>
      <c r="F219" s="60"/>
      <c r="G219" s="57"/>
      <c r="H219" s="57"/>
      <c r="I219" s="60">
        <v>1</v>
      </c>
      <c r="J219" s="60">
        <f t="shared" si="23"/>
        <v>13.45</v>
      </c>
      <c r="K219" s="147"/>
    </row>
    <row r="220" spans="1:11" ht="15.75" customHeight="1" x14ac:dyDescent="0.25">
      <c r="A220" s="130" t="str">
        <f t="shared" si="21"/>
        <v>CIRCULAÇÃO</v>
      </c>
      <c r="B220" s="131"/>
      <c r="C220" s="57"/>
      <c r="D220" s="60">
        <f t="shared" si="22"/>
        <v>8.1199999999999992</v>
      </c>
      <c r="E220" s="60"/>
      <c r="F220" s="60"/>
      <c r="G220" s="57"/>
      <c r="H220" s="57"/>
      <c r="I220" s="60">
        <v>1</v>
      </c>
      <c r="J220" s="60">
        <f t="shared" si="23"/>
        <v>8.1199999999999992</v>
      </c>
      <c r="K220" s="147"/>
    </row>
    <row r="221" spans="1:11" ht="15.75" customHeight="1" x14ac:dyDescent="0.25">
      <c r="A221" s="130" t="str">
        <f t="shared" si="21"/>
        <v>PROVA DETRAN</v>
      </c>
      <c r="B221" s="131"/>
      <c r="C221" s="57"/>
      <c r="D221" s="60">
        <f t="shared" si="22"/>
        <v>12.5</v>
      </c>
      <c r="E221" s="60"/>
      <c r="F221" s="60"/>
      <c r="G221" s="57"/>
      <c r="H221" s="57"/>
      <c r="I221" s="60">
        <v>1</v>
      </c>
      <c r="J221" s="60">
        <f t="shared" si="23"/>
        <v>12.5</v>
      </c>
      <c r="K221" s="147"/>
    </row>
    <row r="222" spans="1:11" ht="15.75" customHeight="1" x14ac:dyDescent="0.25">
      <c r="A222" s="130" t="str">
        <f t="shared" si="21"/>
        <v xml:space="preserve">SALA DE ATENDIMENTO </v>
      </c>
      <c r="B222" s="131"/>
      <c r="C222" s="57"/>
      <c r="D222" s="60">
        <f t="shared" si="22"/>
        <v>24.01</v>
      </c>
      <c r="E222" s="60"/>
      <c r="F222" s="60"/>
      <c r="G222" s="57"/>
      <c r="H222" s="57"/>
      <c r="I222" s="60">
        <v>1</v>
      </c>
      <c r="J222" s="60">
        <f t="shared" si="23"/>
        <v>24.01</v>
      </c>
      <c r="K222" s="147"/>
    </row>
    <row r="223" spans="1:11" ht="15.75" x14ac:dyDescent="0.25">
      <c r="A223" s="123" t="s">
        <v>12</v>
      </c>
      <c r="B223" s="124"/>
      <c r="C223" s="124"/>
      <c r="D223" s="124"/>
      <c r="E223" s="124"/>
      <c r="F223" s="124"/>
      <c r="G223" s="124"/>
      <c r="H223" s="124"/>
      <c r="I223" s="124"/>
      <c r="J223" s="13">
        <f>ROUND(SUM(J215:J222),2)</f>
        <v>103.76</v>
      </c>
      <c r="K223" s="126"/>
    </row>
    <row r="224" spans="1:11" ht="15.75" x14ac:dyDescent="0.25">
      <c r="A224" s="116"/>
      <c r="B224" s="132"/>
      <c r="C224" s="132"/>
      <c r="D224" s="132"/>
      <c r="E224" s="132"/>
      <c r="F224" s="132"/>
      <c r="G224" s="132"/>
      <c r="H224" s="132"/>
      <c r="I224" s="132"/>
      <c r="J224" s="132"/>
      <c r="K224" s="133"/>
    </row>
    <row r="225" spans="1:11" ht="15.75" x14ac:dyDescent="0.25">
      <c r="A225" s="51" t="s">
        <v>3</v>
      </c>
      <c r="B225" s="59" t="s">
        <v>244</v>
      </c>
      <c r="C225" s="118" t="str">
        <f>'PLANILHA ORÇAMENTÁRIA '!C42</f>
        <v>PINTURA ACRÍLICA EM TETO, DUAS (2) DEMÃOS, COM APLICAÇÃO MANUAL, EXCLUSIVE SELADOR ACRÍLICO E MASSA ACRÍLICA/CORRIDA (PVA)</v>
      </c>
      <c r="D225" s="119"/>
      <c r="E225" s="119"/>
      <c r="F225" s="119"/>
      <c r="G225" s="119"/>
      <c r="H225" s="119"/>
      <c r="I225" s="119"/>
      <c r="J225" s="119"/>
      <c r="K225" s="120"/>
    </row>
    <row r="226" spans="1:11" ht="15.75" x14ac:dyDescent="0.25">
      <c r="A226" s="121" t="s">
        <v>4</v>
      </c>
      <c r="B226" s="122"/>
      <c r="C226" s="59"/>
      <c r="D226" s="59" t="s">
        <v>37</v>
      </c>
      <c r="E226" s="59"/>
      <c r="F226" s="59"/>
      <c r="G226" s="59"/>
      <c r="H226" s="59"/>
      <c r="I226" s="59" t="s">
        <v>6</v>
      </c>
      <c r="J226" s="59" t="s">
        <v>19</v>
      </c>
      <c r="K226" s="11" t="s">
        <v>7</v>
      </c>
    </row>
    <row r="227" spans="1:11" ht="15.75" x14ac:dyDescent="0.25">
      <c r="A227" s="130" t="str">
        <f>A215</f>
        <v>COPA</v>
      </c>
      <c r="B227" s="131"/>
      <c r="C227" s="70"/>
      <c r="D227" s="60">
        <f>D215</f>
        <v>13.23</v>
      </c>
      <c r="E227" s="60"/>
      <c r="F227" s="60"/>
      <c r="G227" s="70"/>
      <c r="H227" s="70"/>
      <c r="I227" s="60">
        <v>1</v>
      </c>
      <c r="J227" s="60">
        <f>ROUND(SUM(D227*I227),2)</f>
        <v>13.23</v>
      </c>
      <c r="K227" s="139"/>
    </row>
    <row r="228" spans="1:11" ht="15.75" customHeight="1" x14ac:dyDescent="0.25">
      <c r="A228" s="130" t="str">
        <f t="shared" ref="A228:A234" si="24">A216</f>
        <v>DML</v>
      </c>
      <c r="B228" s="131"/>
      <c r="C228" s="70"/>
      <c r="D228" s="60">
        <f t="shared" ref="D228:D234" si="25">D216</f>
        <v>2.8</v>
      </c>
      <c r="E228" s="60"/>
      <c r="F228" s="60"/>
      <c r="G228" s="70"/>
      <c r="H228" s="70"/>
      <c r="I228" s="60">
        <v>1</v>
      </c>
      <c r="J228" s="60">
        <f t="shared" ref="J228:J240" si="26">ROUND(SUM(D228*I228),2)</f>
        <v>2.8</v>
      </c>
      <c r="K228" s="140"/>
    </row>
    <row r="229" spans="1:11" ht="15.75" x14ac:dyDescent="0.25">
      <c r="A229" s="130" t="str">
        <f t="shared" si="24"/>
        <v>SALA COORDENAÇÃO</v>
      </c>
      <c r="B229" s="131"/>
      <c r="C229" s="70"/>
      <c r="D229" s="60">
        <f t="shared" si="25"/>
        <v>16.2</v>
      </c>
      <c r="E229" s="60"/>
      <c r="F229" s="60"/>
      <c r="G229" s="70"/>
      <c r="H229" s="70"/>
      <c r="I229" s="60">
        <v>1</v>
      </c>
      <c r="J229" s="60">
        <f t="shared" si="26"/>
        <v>16.2</v>
      </c>
      <c r="K229" s="140"/>
    </row>
    <row r="230" spans="1:11" ht="15.75" x14ac:dyDescent="0.25">
      <c r="A230" s="130" t="str">
        <f t="shared" si="24"/>
        <v>SUDESE/SINE</v>
      </c>
      <c r="B230" s="131"/>
      <c r="C230" s="70"/>
      <c r="D230" s="60">
        <f t="shared" si="25"/>
        <v>13.45</v>
      </c>
      <c r="E230" s="60"/>
      <c r="F230" s="60"/>
      <c r="G230" s="70"/>
      <c r="H230" s="70"/>
      <c r="I230" s="60">
        <v>1</v>
      </c>
      <c r="J230" s="60">
        <f t="shared" si="26"/>
        <v>13.45</v>
      </c>
      <c r="K230" s="140"/>
    </row>
    <row r="231" spans="1:11" ht="15.75" customHeight="1" x14ac:dyDescent="0.25">
      <c r="A231" s="130" t="str">
        <f t="shared" si="24"/>
        <v>IIMG</v>
      </c>
      <c r="B231" s="131"/>
      <c r="C231" s="70"/>
      <c r="D231" s="60">
        <f t="shared" si="25"/>
        <v>13.45</v>
      </c>
      <c r="E231" s="60"/>
      <c r="F231" s="60"/>
      <c r="G231" s="70"/>
      <c r="H231" s="70"/>
      <c r="I231" s="60">
        <v>1</v>
      </c>
      <c r="J231" s="60">
        <f t="shared" si="26"/>
        <v>13.45</v>
      </c>
      <c r="K231" s="140"/>
    </row>
    <row r="232" spans="1:11" ht="15.75" customHeight="1" x14ac:dyDescent="0.25">
      <c r="A232" s="130" t="str">
        <f t="shared" si="24"/>
        <v>CIRCULAÇÃO</v>
      </c>
      <c r="B232" s="131"/>
      <c r="C232" s="70"/>
      <c r="D232" s="60">
        <f t="shared" si="25"/>
        <v>8.1199999999999992</v>
      </c>
      <c r="E232" s="60"/>
      <c r="F232" s="60"/>
      <c r="G232" s="70"/>
      <c r="H232" s="70"/>
      <c r="I232" s="60">
        <v>1</v>
      </c>
      <c r="J232" s="60">
        <f t="shared" si="26"/>
        <v>8.1199999999999992</v>
      </c>
      <c r="K232" s="140"/>
    </row>
    <row r="233" spans="1:11" ht="15.75" customHeight="1" x14ac:dyDescent="0.25">
      <c r="A233" s="130" t="str">
        <f t="shared" si="24"/>
        <v>PROVA DETRAN</v>
      </c>
      <c r="B233" s="131"/>
      <c r="C233" s="70"/>
      <c r="D233" s="60">
        <f t="shared" si="25"/>
        <v>12.5</v>
      </c>
      <c r="E233" s="60"/>
      <c r="F233" s="60"/>
      <c r="G233" s="70"/>
      <c r="H233" s="70"/>
      <c r="I233" s="60">
        <v>1</v>
      </c>
      <c r="J233" s="60">
        <f t="shared" si="26"/>
        <v>12.5</v>
      </c>
      <c r="K233" s="140"/>
    </row>
    <row r="234" spans="1:11" ht="15.75" customHeight="1" x14ac:dyDescent="0.25">
      <c r="A234" s="130" t="str">
        <f t="shared" si="24"/>
        <v xml:space="preserve">SALA DE ATENDIMENTO </v>
      </c>
      <c r="B234" s="131"/>
      <c r="C234" s="70"/>
      <c r="D234" s="60">
        <f t="shared" si="25"/>
        <v>24.01</v>
      </c>
      <c r="E234" s="60"/>
      <c r="F234" s="60"/>
      <c r="G234" s="70"/>
      <c r="H234" s="70"/>
      <c r="I234" s="60">
        <v>1</v>
      </c>
      <c r="J234" s="60">
        <f t="shared" si="26"/>
        <v>24.01</v>
      </c>
      <c r="K234" s="140"/>
    </row>
    <row r="235" spans="1:11" ht="15.75" customHeight="1" x14ac:dyDescent="0.25">
      <c r="A235" s="124" t="str">
        <f>A204</f>
        <v>W.C. FEM</v>
      </c>
      <c r="B235" s="124"/>
      <c r="C235" s="70"/>
      <c r="D235" s="60">
        <v>4.5999999999999996</v>
      </c>
      <c r="E235" s="60"/>
      <c r="F235" s="14"/>
      <c r="G235" s="70"/>
      <c r="H235" s="70"/>
      <c r="I235" s="60">
        <v>1</v>
      </c>
      <c r="J235" s="60">
        <f t="shared" si="26"/>
        <v>4.5999999999999996</v>
      </c>
      <c r="K235" s="140"/>
    </row>
    <row r="236" spans="1:11" ht="15.75" customHeight="1" x14ac:dyDescent="0.25">
      <c r="A236" s="124" t="str">
        <f t="shared" ref="A236:A240" si="27">A205</f>
        <v>W.C. MASC.</v>
      </c>
      <c r="B236" s="124"/>
      <c r="C236" s="70"/>
      <c r="D236" s="60">
        <v>4.5999999999999996</v>
      </c>
      <c r="E236" s="60"/>
      <c r="F236" s="14"/>
      <c r="G236" s="70"/>
      <c r="H236" s="70"/>
      <c r="I236" s="60">
        <v>1</v>
      </c>
      <c r="J236" s="60">
        <f t="shared" si="26"/>
        <v>4.5999999999999996</v>
      </c>
      <c r="K236" s="140"/>
    </row>
    <row r="237" spans="1:11" ht="15.75" customHeight="1" x14ac:dyDescent="0.25">
      <c r="A237" s="124" t="str">
        <f t="shared" si="27"/>
        <v>RACK</v>
      </c>
      <c r="B237" s="124"/>
      <c r="C237" s="70"/>
      <c r="D237" s="60">
        <v>2.1</v>
      </c>
      <c r="E237" s="60"/>
      <c r="F237" s="14"/>
      <c r="G237" s="70"/>
      <c r="H237" s="70"/>
      <c r="I237" s="60">
        <v>1</v>
      </c>
      <c r="J237" s="60">
        <f t="shared" si="26"/>
        <v>2.1</v>
      </c>
      <c r="K237" s="140"/>
    </row>
    <row r="238" spans="1:11" ht="15.75" customHeight="1" x14ac:dyDescent="0.25">
      <c r="A238" s="124" t="str">
        <f t="shared" si="27"/>
        <v>SALA DE ESPERA</v>
      </c>
      <c r="B238" s="124"/>
      <c r="C238" s="70"/>
      <c r="D238" s="60">
        <v>25.05</v>
      </c>
      <c r="E238" s="60"/>
      <c r="F238" s="60"/>
      <c r="G238" s="70"/>
      <c r="H238" s="70"/>
      <c r="I238" s="60">
        <v>1</v>
      </c>
      <c r="J238" s="60">
        <f t="shared" si="26"/>
        <v>25.05</v>
      </c>
      <c r="K238" s="140"/>
    </row>
    <row r="239" spans="1:11" ht="15.75" customHeight="1" x14ac:dyDescent="0.25">
      <c r="A239" s="124" t="str">
        <f t="shared" si="27"/>
        <v>ALMOXERIFADO</v>
      </c>
      <c r="B239" s="124"/>
      <c r="C239" s="70"/>
      <c r="D239" s="60">
        <v>4.2</v>
      </c>
      <c r="E239" s="60"/>
      <c r="F239" s="60"/>
      <c r="G239" s="70"/>
      <c r="H239" s="70"/>
      <c r="I239" s="60">
        <v>1</v>
      </c>
      <c r="J239" s="60">
        <f t="shared" si="26"/>
        <v>4.2</v>
      </c>
      <c r="K239" s="140"/>
    </row>
    <row r="240" spans="1:11" ht="15.75" x14ac:dyDescent="0.25">
      <c r="A240" s="124" t="str">
        <f t="shared" si="27"/>
        <v xml:space="preserve">RECEPÇÃO </v>
      </c>
      <c r="B240" s="124"/>
      <c r="C240" s="70"/>
      <c r="D240" s="60">
        <v>9.75</v>
      </c>
      <c r="E240" s="60"/>
      <c r="F240" s="60"/>
      <c r="G240" s="70"/>
      <c r="H240" s="70"/>
      <c r="I240" s="60">
        <v>1</v>
      </c>
      <c r="J240" s="60">
        <f t="shared" si="26"/>
        <v>9.75</v>
      </c>
      <c r="K240" s="140"/>
    </row>
    <row r="241" spans="1:11" ht="15.75" x14ac:dyDescent="0.25">
      <c r="A241" s="116" t="s">
        <v>12</v>
      </c>
      <c r="B241" s="132"/>
      <c r="C241" s="132"/>
      <c r="D241" s="132"/>
      <c r="E241" s="132"/>
      <c r="F241" s="132"/>
      <c r="G241" s="132"/>
      <c r="H241" s="132"/>
      <c r="I241" s="117"/>
      <c r="J241" s="13">
        <f>ROUND(SUM(J227:J240),2)</f>
        <v>154.06</v>
      </c>
      <c r="K241" s="141"/>
    </row>
    <row r="242" spans="1:11" ht="15.75" x14ac:dyDescent="0.25">
      <c r="A242" s="116"/>
      <c r="B242" s="132"/>
      <c r="C242" s="132"/>
      <c r="D242" s="132"/>
      <c r="E242" s="132"/>
      <c r="F242" s="132"/>
      <c r="G242" s="132"/>
      <c r="H242" s="132"/>
      <c r="I242" s="132"/>
      <c r="J242" s="132"/>
      <c r="K242" s="133"/>
    </row>
    <row r="243" spans="1:11" ht="15.75" x14ac:dyDescent="0.25">
      <c r="A243" s="51" t="s">
        <v>3</v>
      </c>
      <c r="B243" s="59" t="s">
        <v>344</v>
      </c>
      <c r="C243" s="118" t="s">
        <v>38</v>
      </c>
      <c r="D243" s="119"/>
      <c r="E243" s="119"/>
      <c r="F243" s="119"/>
      <c r="G243" s="119"/>
      <c r="H243" s="119"/>
      <c r="I243" s="119"/>
      <c r="J243" s="119"/>
      <c r="K243" s="120"/>
    </row>
    <row r="244" spans="1:11" ht="15.75" x14ac:dyDescent="0.25">
      <c r="A244" s="121" t="s">
        <v>4</v>
      </c>
      <c r="B244" s="122"/>
      <c r="C244" s="59"/>
      <c r="D244" s="59" t="s">
        <v>5</v>
      </c>
      <c r="E244" s="59" t="s">
        <v>27</v>
      </c>
      <c r="F244" s="59" t="s">
        <v>28</v>
      </c>
      <c r="G244" s="59"/>
      <c r="H244" s="59"/>
      <c r="I244" s="59" t="s">
        <v>6</v>
      </c>
      <c r="J244" s="59" t="s">
        <v>19</v>
      </c>
      <c r="K244" s="11" t="s">
        <v>7</v>
      </c>
    </row>
    <row r="245" spans="1:11" ht="15.75" x14ac:dyDescent="0.25">
      <c r="A245" s="123" t="s">
        <v>52</v>
      </c>
      <c r="B245" s="124"/>
      <c r="C245" s="57"/>
      <c r="D245" s="60">
        <v>0.7</v>
      </c>
      <c r="E245" s="60">
        <v>2.1</v>
      </c>
      <c r="F245" s="60">
        <v>2</v>
      </c>
      <c r="G245" s="57"/>
      <c r="H245" s="57"/>
      <c r="I245" s="60">
        <v>1</v>
      </c>
      <c r="J245" s="60">
        <f t="shared" ref="J245:J247" si="28">ROUND(SUM(D245*E245*I245*F245),2)</f>
        <v>2.94</v>
      </c>
      <c r="K245" s="125"/>
    </row>
    <row r="246" spans="1:11" ht="15.75" x14ac:dyDescent="0.25">
      <c r="A246" s="123" t="s">
        <v>41</v>
      </c>
      <c r="B246" s="124"/>
      <c r="C246" s="57"/>
      <c r="D246" s="60">
        <v>0.8</v>
      </c>
      <c r="E246" s="60">
        <v>2.1</v>
      </c>
      <c r="F246" s="60">
        <v>2</v>
      </c>
      <c r="G246" s="57"/>
      <c r="H246" s="57"/>
      <c r="I246" s="60">
        <v>7</v>
      </c>
      <c r="J246" s="60">
        <f t="shared" si="28"/>
        <v>23.52</v>
      </c>
      <c r="K246" s="125"/>
    </row>
    <row r="247" spans="1:11" ht="15.75" customHeight="1" x14ac:dyDescent="0.25">
      <c r="A247" s="123" t="s">
        <v>53</v>
      </c>
      <c r="B247" s="124"/>
      <c r="C247" s="57"/>
      <c r="D247" s="60">
        <v>0.9</v>
      </c>
      <c r="E247" s="60">
        <v>2.1</v>
      </c>
      <c r="F247" s="60">
        <v>2</v>
      </c>
      <c r="G247" s="57"/>
      <c r="H247" s="57"/>
      <c r="I247" s="60">
        <v>2</v>
      </c>
      <c r="J247" s="60">
        <f t="shared" si="28"/>
        <v>7.56</v>
      </c>
      <c r="K247" s="125"/>
    </row>
    <row r="248" spans="1:11" ht="15.75" x14ac:dyDescent="0.25">
      <c r="A248" s="116" t="s">
        <v>12</v>
      </c>
      <c r="B248" s="132"/>
      <c r="C248" s="132"/>
      <c r="D248" s="132"/>
      <c r="E248" s="132"/>
      <c r="F248" s="132"/>
      <c r="G248" s="132"/>
      <c r="H248" s="132"/>
      <c r="I248" s="117"/>
      <c r="J248" s="13">
        <f>ROUND(SUM(J245:J247),2)</f>
        <v>34.020000000000003</v>
      </c>
      <c r="K248" s="126"/>
    </row>
    <row r="249" spans="1:11" ht="15.75" x14ac:dyDescent="0.25">
      <c r="A249" s="127"/>
      <c r="B249" s="128"/>
      <c r="C249" s="128"/>
      <c r="D249" s="128"/>
      <c r="E249" s="128"/>
      <c r="F249" s="128"/>
      <c r="G249" s="128"/>
      <c r="H249" s="128"/>
      <c r="I249" s="128"/>
      <c r="J249" s="128"/>
      <c r="K249" s="129"/>
    </row>
    <row r="250" spans="1:11" ht="15.75" x14ac:dyDescent="0.25">
      <c r="A250" s="51" t="s">
        <v>3</v>
      </c>
      <c r="B250" s="59" t="s">
        <v>345</v>
      </c>
      <c r="C250" s="135" t="s">
        <v>45</v>
      </c>
      <c r="D250" s="135"/>
      <c r="E250" s="135"/>
      <c r="F250" s="135"/>
      <c r="G250" s="135"/>
      <c r="H250" s="135"/>
      <c r="I250" s="135"/>
      <c r="J250" s="135"/>
      <c r="K250" s="136"/>
    </row>
    <row r="251" spans="1:11" ht="15.75" x14ac:dyDescent="0.25">
      <c r="A251" s="153" t="s">
        <v>4</v>
      </c>
      <c r="B251" s="151"/>
      <c r="C251" s="59"/>
      <c r="D251" s="59" t="s">
        <v>5</v>
      </c>
      <c r="E251" s="59" t="s">
        <v>27</v>
      </c>
      <c r="F251" s="59" t="s">
        <v>28</v>
      </c>
      <c r="G251" s="59"/>
      <c r="H251" s="59"/>
      <c r="I251" s="59" t="s">
        <v>6</v>
      </c>
      <c r="J251" s="59" t="s">
        <v>19</v>
      </c>
      <c r="K251" s="11" t="s">
        <v>7</v>
      </c>
    </row>
    <row r="252" spans="1:11" ht="15.75" x14ac:dyDescent="0.25">
      <c r="A252" s="123" t="s">
        <v>410</v>
      </c>
      <c r="B252" s="124"/>
      <c r="C252" s="57"/>
      <c r="D252" s="60">
        <v>0.6</v>
      </c>
      <c r="E252" s="60">
        <v>0.8</v>
      </c>
      <c r="F252" s="60">
        <v>2</v>
      </c>
      <c r="G252" s="57"/>
      <c r="H252" s="57"/>
      <c r="I252" s="60">
        <v>6</v>
      </c>
      <c r="J252" s="60">
        <f>ROUND(SUM(D252*E252*I252*F252),2)</f>
        <v>5.76</v>
      </c>
      <c r="K252" s="125"/>
    </row>
    <row r="253" spans="1:11" ht="15.75" x14ac:dyDescent="0.25">
      <c r="A253" s="123" t="s">
        <v>411</v>
      </c>
      <c r="B253" s="124"/>
      <c r="C253" s="57"/>
      <c r="D253" s="60">
        <v>2</v>
      </c>
      <c r="E253" s="60">
        <v>1.2</v>
      </c>
      <c r="F253" s="60">
        <v>2</v>
      </c>
      <c r="G253" s="57"/>
      <c r="H253" s="57"/>
      <c r="I253" s="60">
        <v>1</v>
      </c>
      <c r="J253" s="80">
        <f t="shared" ref="J253:J257" si="29">ROUND(SUM(D253*E253*I253*F253),2)</f>
        <v>4.8</v>
      </c>
      <c r="K253" s="125"/>
    </row>
    <row r="254" spans="1:11" ht="15.75" x14ac:dyDescent="0.25">
      <c r="A254" s="123" t="s">
        <v>412</v>
      </c>
      <c r="B254" s="124"/>
      <c r="C254" s="57"/>
      <c r="D254" s="60">
        <v>2.8</v>
      </c>
      <c r="E254" s="60">
        <v>1.2</v>
      </c>
      <c r="F254" s="60">
        <v>2</v>
      </c>
      <c r="G254" s="57"/>
      <c r="H254" s="57"/>
      <c r="I254" s="60">
        <v>2</v>
      </c>
      <c r="J254" s="80">
        <f t="shared" si="29"/>
        <v>13.44</v>
      </c>
      <c r="K254" s="125"/>
    </row>
    <row r="255" spans="1:11" ht="15.75" x14ac:dyDescent="0.25">
      <c r="A255" s="123" t="s">
        <v>413</v>
      </c>
      <c r="B255" s="124"/>
      <c r="C255" s="57"/>
      <c r="D255" s="60">
        <v>3.65</v>
      </c>
      <c r="E255" s="60">
        <v>1.2</v>
      </c>
      <c r="F255" s="60">
        <v>2</v>
      </c>
      <c r="G255" s="57"/>
      <c r="H255" s="57"/>
      <c r="I255" s="60">
        <v>2</v>
      </c>
      <c r="J255" s="80">
        <f t="shared" si="29"/>
        <v>17.52</v>
      </c>
      <c r="K255" s="125"/>
    </row>
    <row r="256" spans="1:11" ht="15.75" x14ac:dyDescent="0.25">
      <c r="A256" s="116" t="s">
        <v>414</v>
      </c>
      <c r="B256" s="117"/>
      <c r="C256" s="70"/>
      <c r="D256" s="60">
        <v>0.8</v>
      </c>
      <c r="E256" s="60">
        <v>2.1</v>
      </c>
      <c r="F256" s="60">
        <v>2</v>
      </c>
      <c r="G256" s="70"/>
      <c r="H256" s="70"/>
      <c r="I256" s="60">
        <v>2</v>
      </c>
      <c r="J256" s="80">
        <f t="shared" si="29"/>
        <v>6.72</v>
      </c>
      <c r="K256" s="125"/>
    </row>
    <row r="257" spans="1:11" ht="15.75" x14ac:dyDescent="0.25">
      <c r="A257" s="116" t="s">
        <v>420</v>
      </c>
      <c r="B257" s="117"/>
      <c r="C257" s="79"/>
      <c r="D257" s="80">
        <v>1.6</v>
      </c>
      <c r="E257" s="80">
        <v>2.2999999999999998</v>
      </c>
      <c r="F257" s="80">
        <v>2</v>
      </c>
      <c r="G257" s="79"/>
      <c r="H257" s="79"/>
      <c r="I257" s="80">
        <v>1</v>
      </c>
      <c r="J257" s="80">
        <f t="shared" si="29"/>
        <v>7.36</v>
      </c>
      <c r="K257" s="125"/>
    </row>
    <row r="258" spans="1:11" ht="15.75" x14ac:dyDescent="0.25">
      <c r="A258" s="123" t="s">
        <v>12</v>
      </c>
      <c r="B258" s="124"/>
      <c r="C258" s="124"/>
      <c r="D258" s="124"/>
      <c r="E258" s="124"/>
      <c r="F258" s="124"/>
      <c r="G258" s="124"/>
      <c r="H258" s="124"/>
      <c r="I258" s="124"/>
      <c r="J258" s="13">
        <f>ROUND(SUM(J252:J257),2)</f>
        <v>55.6</v>
      </c>
      <c r="K258" s="126"/>
    </row>
    <row r="259" spans="1:11" ht="15.75" x14ac:dyDescent="0.25">
      <c r="A259" s="127"/>
      <c r="B259" s="128"/>
      <c r="C259" s="128"/>
      <c r="D259" s="128"/>
      <c r="E259" s="128"/>
      <c r="F259" s="128"/>
      <c r="G259" s="128"/>
      <c r="H259" s="128"/>
      <c r="I259" s="128"/>
      <c r="J259" s="128"/>
      <c r="K259" s="129"/>
    </row>
    <row r="260" spans="1:11" ht="15.75" x14ac:dyDescent="0.25">
      <c r="A260" s="142" t="s">
        <v>68</v>
      </c>
      <c r="B260" s="143"/>
      <c r="C260" s="144" t="s">
        <v>39</v>
      </c>
      <c r="D260" s="145"/>
      <c r="E260" s="145"/>
      <c r="F260" s="145"/>
      <c r="G260" s="145"/>
      <c r="H260" s="145"/>
      <c r="I260" s="145"/>
      <c r="J260" s="145"/>
      <c r="K260" s="146"/>
    </row>
    <row r="261" spans="1:11" ht="31.5" customHeight="1" x14ac:dyDescent="0.25">
      <c r="A261" s="51" t="s">
        <v>3</v>
      </c>
      <c r="B261" s="59" t="s">
        <v>69</v>
      </c>
      <c r="C261" s="118" t="str">
        <f>'PLANILHA ORÇAMENTÁRIA '!C46</f>
        <v>PORTA-PRONTA DE MADEIRA, FOLHA LEVE OU MÉDIA, 70X210CM, FIXAÇÃO COM PREENCHIMENTO TOTAL DE ESPUMA EXPANSIVA - FORNECIMENTO E INSTALAÇÃO. AF_10/2025</v>
      </c>
      <c r="D261" s="119"/>
      <c r="E261" s="119"/>
      <c r="F261" s="119"/>
      <c r="G261" s="119"/>
      <c r="H261" s="119"/>
      <c r="I261" s="119"/>
      <c r="J261" s="119"/>
      <c r="K261" s="120"/>
    </row>
    <row r="262" spans="1:11" ht="15.75" x14ac:dyDescent="0.25">
      <c r="A262" s="121" t="s">
        <v>4</v>
      </c>
      <c r="B262" s="122"/>
      <c r="C262" s="59"/>
      <c r="D262" s="59"/>
      <c r="E262" s="59"/>
      <c r="F262" s="59"/>
      <c r="G262" s="59"/>
      <c r="H262" s="59"/>
      <c r="I262" s="59" t="s">
        <v>6</v>
      </c>
      <c r="J262" s="59" t="s">
        <v>40</v>
      </c>
      <c r="K262" s="11" t="s">
        <v>7</v>
      </c>
    </row>
    <row r="263" spans="1:11" ht="15.75" x14ac:dyDescent="0.25">
      <c r="A263" s="123" t="s">
        <v>52</v>
      </c>
      <c r="B263" s="124"/>
      <c r="C263" s="57"/>
      <c r="D263" s="60"/>
      <c r="E263" s="60"/>
      <c r="F263" s="60"/>
      <c r="G263" s="57"/>
      <c r="H263" s="57"/>
      <c r="I263" s="60">
        <v>1</v>
      </c>
      <c r="J263" s="60">
        <f>I263</f>
        <v>1</v>
      </c>
      <c r="K263" s="126"/>
    </row>
    <row r="264" spans="1:11" ht="15.75" x14ac:dyDescent="0.25">
      <c r="A264" s="116" t="s">
        <v>12</v>
      </c>
      <c r="B264" s="132"/>
      <c r="C264" s="132"/>
      <c r="D264" s="132"/>
      <c r="E264" s="132"/>
      <c r="F264" s="132"/>
      <c r="G264" s="132"/>
      <c r="H264" s="132"/>
      <c r="I264" s="117"/>
      <c r="J264" s="13">
        <f>ROUND(SUM(J263:J263),2)</f>
        <v>1</v>
      </c>
      <c r="K264" s="126"/>
    </row>
    <row r="265" spans="1:11" ht="15.75" x14ac:dyDescent="0.25">
      <c r="A265" s="127"/>
      <c r="B265" s="128"/>
      <c r="C265" s="128"/>
      <c r="D265" s="128"/>
      <c r="E265" s="128"/>
      <c r="F265" s="128"/>
      <c r="G265" s="128"/>
      <c r="H265" s="128"/>
      <c r="I265" s="128"/>
      <c r="J265" s="128"/>
      <c r="K265" s="129"/>
    </row>
    <row r="266" spans="1:11" ht="30.75" customHeight="1" x14ac:dyDescent="0.25">
      <c r="A266" s="51" t="s">
        <v>3</v>
      </c>
      <c r="B266" s="59" t="s">
        <v>70</v>
      </c>
      <c r="C266" s="118" t="str">
        <f>'PLANILHA ORÇAMENTÁRIA '!C47</f>
        <v>PORTA-PRONTA DE MADEIRA, FOLHA LEVE OU MÉDIA, 80X210CM, FIXAÇÃO COM PREENCHIMENTO TOTAL DE ESPUMA EXPANSIVA - FORNECIMENTO E INSTALAÇÃO. AF_10/2025</v>
      </c>
      <c r="D266" s="119"/>
      <c r="E266" s="119"/>
      <c r="F266" s="119"/>
      <c r="G266" s="119"/>
      <c r="H266" s="119"/>
      <c r="I266" s="119"/>
      <c r="J266" s="119"/>
      <c r="K266" s="120"/>
    </row>
    <row r="267" spans="1:11" ht="15.75" x14ac:dyDescent="0.25">
      <c r="A267" s="121" t="s">
        <v>4</v>
      </c>
      <c r="B267" s="122"/>
      <c r="C267" s="59"/>
      <c r="D267" s="59"/>
      <c r="E267" s="59"/>
      <c r="F267" s="59"/>
      <c r="G267" s="59"/>
      <c r="H267" s="59"/>
      <c r="I267" s="59" t="s">
        <v>6</v>
      </c>
      <c r="J267" s="59" t="s">
        <v>40</v>
      </c>
      <c r="K267" s="11" t="s">
        <v>7</v>
      </c>
    </row>
    <row r="268" spans="1:11" ht="15.75" x14ac:dyDescent="0.25">
      <c r="A268" s="123" t="s">
        <v>41</v>
      </c>
      <c r="B268" s="124"/>
      <c r="C268" s="57"/>
      <c r="D268" s="60"/>
      <c r="E268" s="60"/>
      <c r="F268" s="60"/>
      <c r="G268" s="57"/>
      <c r="H268" s="57"/>
      <c r="I268" s="60">
        <v>7</v>
      </c>
      <c r="J268" s="60">
        <f>I268</f>
        <v>7</v>
      </c>
      <c r="K268" s="126"/>
    </row>
    <row r="269" spans="1:11" ht="15.75" x14ac:dyDescent="0.25">
      <c r="A269" s="116" t="s">
        <v>12</v>
      </c>
      <c r="B269" s="132"/>
      <c r="C269" s="132"/>
      <c r="D269" s="132"/>
      <c r="E269" s="132"/>
      <c r="F269" s="132"/>
      <c r="G269" s="132"/>
      <c r="H269" s="132"/>
      <c r="I269" s="117"/>
      <c r="J269" s="13">
        <f>ROUND(SUM(J268:J268),2)</f>
        <v>7</v>
      </c>
      <c r="K269" s="126"/>
    </row>
    <row r="270" spans="1:11" ht="15.75" x14ac:dyDescent="0.25">
      <c r="A270" s="127"/>
      <c r="B270" s="128"/>
      <c r="C270" s="128"/>
      <c r="D270" s="128"/>
      <c r="E270" s="128"/>
      <c r="F270" s="128"/>
      <c r="G270" s="128"/>
      <c r="H270" s="128"/>
      <c r="I270" s="128"/>
      <c r="J270" s="128"/>
      <c r="K270" s="129"/>
    </row>
    <row r="271" spans="1:11" ht="33" customHeight="1" x14ac:dyDescent="0.25">
      <c r="A271" s="51" t="s">
        <v>3</v>
      </c>
      <c r="B271" s="59" t="s">
        <v>71</v>
      </c>
      <c r="C271" s="118" t="str">
        <f>'PLANILHA ORÇAMENTÁRIA '!C48</f>
        <v>KIT DE PORTA DE MADEIRA PARA PINTURA, SEMI-OCA (LEVE OU MÉDIA), PADRÃO POPULAR, 90X210CM, ESPESSURA DE 3,5CM, ITENS INCLUSOS: DOBRADIÇAS, MONTAGEM E INSTALAÇÃO DO BATENTE, FECHADURA COM EXECUÇÃO DO FURO - FORNECIMENTO E INSTALAÇÃO. AF_10/2025</v>
      </c>
      <c r="D271" s="119"/>
      <c r="E271" s="119"/>
      <c r="F271" s="119"/>
      <c r="G271" s="119"/>
      <c r="H271" s="119"/>
      <c r="I271" s="119"/>
      <c r="J271" s="119"/>
      <c r="K271" s="120"/>
    </row>
    <row r="272" spans="1:11" ht="15.75" x14ac:dyDescent="0.25">
      <c r="A272" s="121" t="s">
        <v>4</v>
      </c>
      <c r="B272" s="122"/>
      <c r="C272" s="59"/>
      <c r="D272" s="59"/>
      <c r="E272" s="59"/>
      <c r="F272" s="59"/>
      <c r="G272" s="59"/>
      <c r="H272" s="59"/>
      <c r="I272" s="59" t="s">
        <v>6</v>
      </c>
      <c r="J272" s="59" t="s">
        <v>40</v>
      </c>
      <c r="K272" s="11" t="s">
        <v>7</v>
      </c>
    </row>
    <row r="273" spans="1:11" ht="15.75" x14ac:dyDescent="0.25">
      <c r="A273" s="123" t="s">
        <v>53</v>
      </c>
      <c r="B273" s="124"/>
      <c r="C273" s="57"/>
      <c r="D273" s="60"/>
      <c r="E273" s="60"/>
      <c r="F273" s="60"/>
      <c r="G273" s="57"/>
      <c r="H273" s="57"/>
      <c r="I273" s="60">
        <v>2</v>
      </c>
      <c r="J273" s="60">
        <f>I273</f>
        <v>2</v>
      </c>
      <c r="K273" s="126"/>
    </row>
    <row r="274" spans="1:11" ht="15.75" x14ac:dyDescent="0.25">
      <c r="A274" s="116" t="s">
        <v>12</v>
      </c>
      <c r="B274" s="132"/>
      <c r="C274" s="132"/>
      <c r="D274" s="132"/>
      <c r="E274" s="132"/>
      <c r="F274" s="132"/>
      <c r="G274" s="132"/>
      <c r="H274" s="132"/>
      <c r="I274" s="117"/>
      <c r="J274" s="13">
        <f>ROUND(SUM(J273:J273),2)</f>
        <v>2</v>
      </c>
      <c r="K274" s="126"/>
    </row>
    <row r="275" spans="1:11" ht="15.75" x14ac:dyDescent="0.25">
      <c r="A275" s="127"/>
      <c r="B275" s="128"/>
      <c r="C275" s="128"/>
      <c r="D275" s="128"/>
      <c r="E275" s="128"/>
      <c r="F275" s="128"/>
      <c r="G275" s="128"/>
      <c r="H275" s="128"/>
      <c r="I275" s="128"/>
      <c r="J275" s="128"/>
      <c r="K275" s="129"/>
    </row>
    <row r="276" spans="1:11" ht="15.75" x14ac:dyDescent="0.25">
      <c r="A276" s="51" t="s">
        <v>3</v>
      </c>
      <c r="B276" s="59" t="s">
        <v>72</v>
      </c>
      <c r="C276" s="118" t="str">
        <f>'PLANILHA ORÇAMENTÁRIA '!C49</f>
        <v>JANELA EM ALUMÍNIO FIXA COMPLETA, LINHA 25/SUPREMA, ACABAMENTO ANODIZADO NATURAL, INCLUSIVE PERFIS E VIDRO LISO 4MM E INSTALAÇÃO</v>
      </c>
      <c r="D276" s="119"/>
      <c r="E276" s="119"/>
      <c r="F276" s="119"/>
      <c r="G276" s="119"/>
      <c r="H276" s="119"/>
      <c r="I276" s="119"/>
      <c r="J276" s="119"/>
      <c r="K276" s="120"/>
    </row>
    <row r="277" spans="1:11" ht="15.75" x14ac:dyDescent="0.25">
      <c r="A277" s="121" t="s">
        <v>4</v>
      </c>
      <c r="B277" s="122"/>
      <c r="C277" s="59"/>
      <c r="D277" s="59" t="s">
        <v>5</v>
      </c>
      <c r="E277" s="59" t="s">
        <v>32</v>
      </c>
      <c r="F277" s="59"/>
      <c r="G277" s="59"/>
      <c r="H277" s="59"/>
      <c r="I277" s="59" t="s">
        <v>6</v>
      </c>
      <c r="J277" s="59" t="s">
        <v>19</v>
      </c>
      <c r="K277" s="11" t="s">
        <v>7</v>
      </c>
    </row>
    <row r="278" spans="1:11" ht="15.75" x14ac:dyDescent="0.25">
      <c r="A278" s="123" t="s">
        <v>213</v>
      </c>
      <c r="B278" s="124"/>
      <c r="C278" s="57"/>
      <c r="D278" s="60">
        <v>1</v>
      </c>
      <c r="E278" s="60">
        <v>0.6</v>
      </c>
      <c r="F278" s="60"/>
      <c r="G278" s="60"/>
      <c r="H278" s="57"/>
      <c r="I278" s="60">
        <v>1</v>
      </c>
      <c r="J278" s="60">
        <f>ROUND(D278*E278*I278,2)</f>
        <v>0.6</v>
      </c>
      <c r="K278" s="126"/>
    </row>
    <row r="279" spans="1:11" ht="15.75" x14ac:dyDescent="0.25">
      <c r="A279" s="116" t="s">
        <v>12</v>
      </c>
      <c r="B279" s="132"/>
      <c r="C279" s="132"/>
      <c r="D279" s="132"/>
      <c r="E279" s="132"/>
      <c r="F279" s="132"/>
      <c r="G279" s="132"/>
      <c r="H279" s="132"/>
      <c r="I279" s="117"/>
      <c r="J279" s="13">
        <f>ROUND(SUM(J278:J278),2)</f>
        <v>0.6</v>
      </c>
      <c r="K279" s="126"/>
    </row>
    <row r="280" spans="1:11" ht="15.75" x14ac:dyDescent="0.25">
      <c r="A280" s="127"/>
      <c r="B280" s="128"/>
      <c r="C280" s="128"/>
      <c r="D280" s="128"/>
      <c r="E280" s="128"/>
      <c r="F280" s="128"/>
      <c r="G280" s="128"/>
      <c r="H280" s="128"/>
      <c r="I280" s="128"/>
      <c r="J280" s="128"/>
      <c r="K280" s="129"/>
    </row>
    <row r="281" spans="1:11" ht="15.75" x14ac:dyDescent="0.25">
      <c r="A281" s="142" t="s">
        <v>76</v>
      </c>
      <c r="B281" s="143"/>
      <c r="C281" s="144" t="s">
        <v>43</v>
      </c>
      <c r="D281" s="145"/>
      <c r="E281" s="145"/>
      <c r="F281" s="145"/>
      <c r="G281" s="145"/>
      <c r="H281" s="145"/>
      <c r="I281" s="145"/>
      <c r="J281" s="145"/>
      <c r="K281" s="146"/>
    </row>
    <row r="282" spans="1:11" ht="15.75" x14ac:dyDescent="0.25">
      <c r="A282" s="51" t="s">
        <v>3</v>
      </c>
      <c r="B282" s="59" t="s">
        <v>77</v>
      </c>
      <c r="C282" s="118" t="str">
        <f>'PLANILHA ORÇAMENTÁRIA '!C51</f>
        <v>BACIA SANITÁRIA (VASO) DE LOUÇA CONVENCIONAL ACESSÍVEL (PCR/PMR), COR BRANCA, INCLUSIVE SÓCULO NA BASE, ACESSÓRIOS DE FIXAÇÃO/VEDAÇÃO, VÁLVULA DE DESCARGA METÁLICA COM ACIONAMENTO DUPLO, TUBO DE LIGAÇÃO DE LATÃO COM CANOPLA,E REJUNTAMENTO, EXCLUSIVE ASSENTO</v>
      </c>
      <c r="D282" s="119"/>
      <c r="E282" s="119"/>
      <c r="F282" s="119"/>
      <c r="G282" s="119"/>
      <c r="H282" s="119"/>
      <c r="I282" s="119"/>
      <c r="J282" s="119"/>
      <c r="K282" s="120"/>
    </row>
    <row r="283" spans="1:11" ht="15.75" x14ac:dyDescent="0.25">
      <c r="A283" s="121" t="s">
        <v>4</v>
      </c>
      <c r="B283" s="122"/>
      <c r="C283" s="59"/>
      <c r="D283" s="59"/>
      <c r="E283" s="59"/>
      <c r="F283" s="59"/>
      <c r="G283" s="59"/>
      <c r="H283" s="59"/>
      <c r="I283" s="59" t="s">
        <v>6</v>
      </c>
      <c r="J283" s="59" t="s">
        <v>40</v>
      </c>
      <c r="K283" s="11" t="s">
        <v>7</v>
      </c>
    </row>
    <row r="284" spans="1:11" ht="15.75" x14ac:dyDescent="0.25">
      <c r="A284" s="123"/>
      <c r="B284" s="124"/>
      <c r="C284" s="57"/>
      <c r="D284" s="60"/>
      <c r="E284" s="60"/>
      <c r="F284" s="60"/>
      <c r="G284" s="57"/>
      <c r="H284" s="60"/>
      <c r="I284" s="60">
        <v>2</v>
      </c>
      <c r="J284" s="60">
        <f>ROUND(SUM(I284),2)</f>
        <v>2</v>
      </c>
      <c r="K284" s="126"/>
    </row>
    <row r="285" spans="1:11" ht="15.75" x14ac:dyDescent="0.25">
      <c r="A285" s="116" t="s">
        <v>12</v>
      </c>
      <c r="B285" s="132"/>
      <c r="C285" s="132"/>
      <c r="D285" s="132"/>
      <c r="E285" s="132"/>
      <c r="F285" s="132"/>
      <c r="G285" s="132"/>
      <c r="H285" s="132"/>
      <c r="I285" s="117"/>
      <c r="J285" s="13">
        <f>ROUND(SUM(J284:J284),2)</f>
        <v>2</v>
      </c>
      <c r="K285" s="126"/>
    </row>
    <row r="286" spans="1:11" ht="15.75" x14ac:dyDescent="0.25">
      <c r="A286" s="127"/>
      <c r="B286" s="128"/>
      <c r="C286" s="128"/>
      <c r="D286" s="128"/>
      <c r="E286" s="128"/>
      <c r="F286" s="128"/>
      <c r="G286" s="128"/>
      <c r="H286" s="128"/>
      <c r="I286" s="128"/>
      <c r="J286" s="128"/>
      <c r="K286" s="129"/>
    </row>
    <row r="287" spans="1:11" ht="15.75" x14ac:dyDescent="0.25">
      <c r="A287" s="51" t="s">
        <v>3</v>
      </c>
      <c r="B287" s="59" t="s">
        <v>118</v>
      </c>
      <c r="C287" s="118" t="str">
        <f>'PLANILHA ORÇAMENTÁRIA '!C52</f>
        <v>CUBA DE EMBUTIR RETANGULAR DE AÇO INOXIDÁVEL, 46 X 30 X 12 CM - FORNECIMENTO E INSTALAÇÃO. AF_02/2026</v>
      </c>
      <c r="D287" s="119"/>
      <c r="E287" s="119"/>
      <c r="F287" s="119"/>
      <c r="G287" s="119"/>
      <c r="H287" s="119"/>
      <c r="I287" s="119"/>
      <c r="J287" s="119"/>
      <c r="K287" s="120"/>
    </row>
    <row r="288" spans="1:11" ht="15.75" x14ac:dyDescent="0.25">
      <c r="A288" s="121" t="s">
        <v>4</v>
      </c>
      <c r="B288" s="122"/>
      <c r="C288" s="59"/>
      <c r="D288" s="59"/>
      <c r="E288" s="59"/>
      <c r="F288" s="59"/>
      <c r="G288" s="59"/>
      <c r="H288" s="59"/>
      <c r="I288" s="59" t="s">
        <v>6</v>
      </c>
      <c r="J288" s="59" t="s">
        <v>40</v>
      </c>
      <c r="K288" s="11" t="s">
        <v>7</v>
      </c>
    </row>
    <row r="289" spans="1:11" ht="15.75" x14ac:dyDescent="0.25">
      <c r="A289" s="123"/>
      <c r="B289" s="124"/>
      <c r="C289" s="57"/>
      <c r="D289" s="60"/>
      <c r="E289" s="60"/>
      <c r="F289" s="60"/>
      <c r="G289" s="57"/>
      <c r="H289" s="57"/>
      <c r="I289" s="60">
        <v>1</v>
      </c>
      <c r="J289" s="60">
        <f>ROUND(SUM(I289),2)</f>
        <v>1</v>
      </c>
      <c r="K289" s="126"/>
    </row>
    <row r="290" spans="1:11" ht="15.75" x14ac:dyDescent="0.25">
      <c r="A290" s="116" t="s">
        <v>12</v>
      </c>
      <c r="B290" s="132"/>
      <c r="C290" s="132"/>
      <c r="D290" s="132"/>
      <c r="E290" s="132"/>
      <c r="F290" s="132"/>
      <c r="G290" s="132"/>
      <c r="H290" s="132"/>
      <c r="I290" s="117"/>
      <c r="J290" s="13">
        <f>ROUND(SUM(J289:J289),2)</f>
        <v>1</v>
      </c>
      <c r="K290" s="126"/>
    </row>
    <row r="291" spans="1:11" ht="15.75" x14ac:dyDescent="0.25">
      <c r="A291" s="127"/>
      <c r="B291" s="128"/>
      <c r="C291" s="128"/>
      <c r="D291" s="128"/>
      <c r="E291" s="128"/>
      <c r="F291" s="128"/>
      <c r="G291" s="128"/>
      <c r="H291" s="128"/>
      <c r="I291" s="128"/>
      <c r="J291" s="128"/>
      <c r="K291" s="129"/>
    </row>
    <row r="292" spans="1:11" ht="15.75" x14ac:dyDescent="0.25">
      <c r="A292" s="51" t="s">
        <v>3</v>
      </c>
      <c r="B292" s="59" t="s">
        <v>119</v>
      </c>
      <c r="C292" s="118" t="str">
        <f>'PLANILHA ORÇAMENTÁRIA '!C53</f>
        <v>LAVATORIO DE CANTO DE LOUCA BRANCA, SUSPENSO (SEM COLUNA), DIMENSOES *40 X 30* CM (L X C)</v>
      </c>
      <c r="D292" s="119"/>
      <c r="E292" s="119"/>
      <c r="F292" s="119"/>
      <c r="G292" s="119"/>
      <c r="H292" s="119"/>
      <c r="I292" s="119"/>
      <c r="J292" s="119"/>
      <c r="K292" s="120"/>
    </row>
    <row r="293" spans="1:11" ht="15.75" x14ac:dyDescent="0.25">
      <c r="A293" s="121" t="s">
        <v>4</v>
      </c>
      <c r="B293" s="122"/>
      <c r="C293" s="59"/>
      <c r="D293" s="59"/>
      <c r="E293" s="59"/>
      <c r="F293" s="59"/>
      <c r="G293" s="59"/>
      <c r="H293" s="59"/>
      <c r="I293" s="59" t="s">
        <v>6</v>
      </c>
      <c r="J293" s="59" t="s">
        <v>40</v>
      </c>
      <c r="K293" s="11" t="s">
        <v>7</v>
      </c>
    </row>
    <row r="294" spans="1:11" ht="15.75" x14ac:dyDescent="0.25">
      <c r="A294" s="123"/>
      <c r="B294" s="124"/>
      <c r="C294" s="57"/>
      <c r="D294" s="60"/>
      <c r="E294" s="60"/>
      <c r="F294" s="60"/>
      <c r="G294" s="57"/>
      <c r="H294" s="60"/>
      <c r="I294" s="60">
        <v>2</v>
      </c>
      <c r="J294" s="60">
        <f>ROUND(SUM(I294),2)</f>
        <v>2</v>
      </c>
      <c r="K294" s="126"/>
    </row>
    <row r="295" spans="1:11" ht="15.75" x14ac:dyDescent="0.25">
      <c r="A295" s="116" t="s">
        <v>12</v>
      </c>
      <c r="B295" s="132"/>
      <c r="C295" s="132"/>
      <c r="D295" s="132"/>
      <c r="E295" s="132"/>
      <c r="F295" s="132"/>
      <c r="G295" s="132"/>
      <c r="H295" s="132"/>
      <c r="I295" s="117"/>
      <c r="J295" s="13">
        <f>ROUND(SUM(J294:J294),2)</f>
        <v>2</v>
      </c>
      <c r="K295" s="126"/>
    </row>
    <row r="296" spans="1:11" ht="15.75" x14ac:dyDescent="0.25">
      <c r="A296" s="127"/>
      <c r="B296" s="128"/>
      <c r="C296" s="128"/>
      <c r="D296" s="128"/>
      <c r="E296" s="128"/>
      <c r="F296" s="128"/>
      <c r="G296" s="128"/>
      <c r="H296" s="128"/>
      <c r="I296" s="128"/>
      <c r="J296" s="128"/>
      <c r="K296" s="129"/>
    </row>
    <row r="297" spans="1:11" ht="33" customHeight="1" x14ac:dyDescent="0.25">
      <c r="A297" s="51" t="s">
        <v>3</v>
      </c>
      <c r="B297" s="59" t="s">
        <v>120</v>
      </c>
      <c r="C297" s="118" t="str">
        <f>'PLANILHA ORÇAMENTÁRIA '!C54</f>
        <v>BARRA DE APOIO EM AÇO INOX POLIDO RETA, DIÂMETRO DE 1.1/4", PARA ACESSIBILIDADE (PMR/PCR), COMPRIMENTO 80CM, INSTALADO EM PAREDE, INCLUSIVE ACESSÓRIOS PARA FIXAÇÃO</v>
      </c>
      <c r="D297" s="119"/>
      <c r="E297" s="119"/>
      <c r="F297" s="119"/>
      <c r="G297" s="119"/>
      <c r="H297" s="119"/>
      <c r="I297" s="119"/>
      <c r="J297" s="119"/>
      <c r="K297" s="120"/>
    </row>
    <row r="298" spans="1:11" ht="15.75" x14ac:dyDescent="0.25">
      <c r="A298" s="121" t="s">
        <v>4</v>
      </c>
      <c r="B298" s="122"/>
      <c r="C298" s="59"/>
      <c r="D298" s="59"/>
      <c r="E298" s="59"/>
      <c r="F298" s="59"/>
      <c r="G298" s="59"/>
      <c r="H298" s="59"/>
      <c r="I298" s="59" t="s">
        <v>6</v>
      </c>
      <c r="J298" s="59" t="s">
        <v>40</v>
      </c>
      <c r="K298" s="11" t="s">
        <v>7</v>
      </c>
    </row>
    <row r="299" spans="1:11" ht="15.75" x14ac:dyDescent="0.25">
      <c r="A299" s="123"/>
      <c r="B299" s="124"/>
      <c r="C299" s="57"/>
      <c r="D299" s="60"/>
      <c r="E299" s="60"/>
      <c r="F299" s="60"/>
      <c r="G299" s="57"/>
      <c r="H299" s="57"/>
      <c r="I299" s="60">
        <v>4</v>
      </c>
      <c r="J299" s="60">
        <f>ROUND(SUM(I299),2)</f>
        <v>4</v>
      </c>
      <c r="K299" s="126"/>
    </row>
    <row r="300" spans="1:11" ht="15.75" x14ac:dyDescent="0.25">
      <c r="A300" s="116" t="s">
        <v>12</v>
      </c>
      <c r="B300" s="132"/>
      <c r="C300" s="132"/>
      <c r="D300" s="132"/>
      <c r="E300" s="132"/>
      <c r="F300" s="132"/>
      <c r="G300" s="132"/>
      <c r="H300" s="132"/>
      <c r="I300" s="117"/>
      <c r="J300" s="13">
        <f>ROUND(SUM(J299:J299),2)</f>
        <v>4</v>
      </c>
      <c r="K300" s="126"/>
    </row>
    <row r="301" spans="1:11" ht="15.75" x14ac:dyDescent="0.25">
      <c r="A301" s="127"/>
      <c r="B301" s="128"/>
      <c r="C301" s="128"/>
      <c r="D301" s="128"/>
      <c r="E301" s="128"/>
      <c r="F301" s="128"/>
      <c r="G301" s="128"/>
      <c r="H301" s="128"/>
      <c r="I301" s="128"/>
      <c r="J301" s="128"/>
      <c r="K301" s="129"/>
    </row>
    <row r="302" spans="1:11" ht="33.75" customHeight="1" x14ac:dyDescent="0.25">
      <c r="A302" s="51" t="s">
        <v>3</v>
      </c>
      <c r="B302" s="59" t="s">
        <v>121</v>
      </c>
      <c r="C302" s="118" t="str">
        <f>'PLANILHA ORÇAMENTÁRIA '!C55</f>
        <v>BARRA DE APOIO EM AÇO INOX POLIDO RETA, DIÂMETRO DE 1.1/4", PARA ACESSIBILIDADE (PMR/PCR), COMPRIMENTO 40CM, INSTALADO EM PORTA/PAREDE, INCLUSIVE ACESSÓRIOS PARA FIXAÇÃO</v>
      </c>
      <c r="D302" s="119"/>
      <c r="E302" s="119"/>
      <c r="F302" s="119"/>
      <c r="G302" s="119"/>
      <c r="H302" s="119"/>
      <c r="I302" s="119"/>
      <c r="J302" s="119"/>
      <c r="K302" s="120"/>
    </row>
    <row r="303" spans="1:11" ht="15.75" x14ac:dyDescent="0.25">
      <c r="A303" s="121" t="s">
        <v>4</v>
      </c>
      <c r="B303" s="122"/>
      <c r="C303" s="59"/>
      <c r="D303" s="59"/>
      <c r="E303" s="59"/>
      <c r="F303" s="59"/>
      <c r="G303" s="59"/>
      <c r="H303" s="59"/>
      <c r="I303" s="59" t="s">
        <v>6</v>
      </c>
      <c r="J303" s="59" t="s">
        <v>40</v>
      </c>
      <c r="K303" s="11" t="s">
        <v>7</v>
      </c>
    </row>
    <row r="304" spans="1:11" ht="15.75" x14ac:dyDescent="0.25">
      <c r="A304" s="123"/>
      <c r="B304" s="124"/>
      <c r="C304" s="57"/>
      <c r="D304" s="60"/>
      <c r="E304" s="60"/>
      <c r="F304" s="60"/>
      <c r="G304" s="57"/>
      <c r="H304" s="60"/>
      <c r="I304" s="60">
        <v>2</v>
      </c>
      <c r="J304" s="60">
        <f>ROUND(SUM(I304),2)</f>
        <v>2</v>
      </c>
      <c r="K304" s="126"/>
    </row>
    <row r="305" spans="1:11" ht="15.75" x14ac:dyDescent="0.25">
      <c r="A305" s="116" t="s">
        <v>12</v>
      </c>
      <c r="B305" s="132"/>
      <c r="C305" s="132"/>
      <c r="D305" s="132"/>
      <c r="E305" s="132"/>
      <c r="F305" s="132"/>
      <c r="G305" s="132"/>
      <c r="H305" s="132"/>
      <c r="I305" s="117"/>
      <c r="J305" s="13">
        <f>ROUND(SUM(J304:J304),2)</f>
        <v>2</v>
      </c>
      <c r="K305" s="126"/>
    </row>
    <row r="306" spans="1:11" ht="15.75" x14ac:dyDescent="0.25">
      <c r="A306" s="127"/>
      <c r="B306" s="128"/>
      <c r="C306" s="128"/>
      <c r="D306" s="128"/>
      <c r="E306" s="128"/>
      <c r="F306" s="128"/>
      <c r="G306" s="128"/>
      <c r="H306" s="128"/>
      <c r="I306" s="128"/>
      <c r="J306" s="128"/>
      <c r="K306" s="129"/>
    </row>
    <row r="307" spans="1:11" ht="31.5" customHeight="1" x14ac:dyDescent="0.25">
      <c r="A307" s="51" t="s">
        <v>3</v>
      </c>
      <c r="B307" s="59" t="s">
        <v>346</v>
      </c>
      <c r="C307" s="135" t="str">
        <f>'PLANILHA ORÇAMENTÁRIA '!C56</f>
        <v>BANCADA EM GRANITO, COR CINZA ANDORINHA, ESP. 2CM, ACABAMENTO POLIDO, APOIADA EM CONSOLE DE METALON (50X30)MM, EXCLUSIVE RODABANCA/FRONTÃO, TESTEIRA/FAIXA, FURO EM BANCADA, CUBA METÁLICA, VÁLVULA, SIFÃO, TORNEIRA E ENGATE FLEXÍVEL</v>
      </c>
      <c r="D307" s="135"/>
      <c r="E307" s="135"/>
      <c r="F307" s="135"/>
      <c r="G307" s="135"/>
      <c r="H307" s="135"/>
      <c r="I307" s="135"/>
      <c r="J307" s="135"/>
      <c r="K307" s="136"/>
    </row>
    <row r="308" spans="1:11" ht="15.75" x14ac:dyDescent="0.25">
      <c r="A308" s="153" t="s">
        <v>4</v>
      </c>
      <c r="B308" s="151"/>
      <c r="C308" s="59"/>
      <c r="D308" s="59" t="s">
        <v>5</v>
      </c>
      <c r="E308" s="59" t="s">
        <v>32</v>
      </c>
      <c r="F308" s="59" t="s">
        <v>37</v>
      </c>
      <c r="G308" s="59"/>
      <c r="H308" s="59"/>
      <c r="I308" s="59" t="s">
        <v>6</v>
      </c>
      <c r="J308" s="59" t="s">
        <v>19</v>
      </c>
      <c r="K308" s="11" t="s">
        <v>7</v>
      </c>
    </row>
    <row r="309" spans="1:11" ht="15.75" x14ac:dyDescent="0.25">
      <c r="A309" s="123" t="s">
        <v>407</v>
      </c>
      <c r="B309" s="124"/>
      <c r="C309" s="57"/>
      <c r="D309" s="60">
        <v>1.98</v>
      </c>
      <c r="E309" s="60">
        <v>0.6</v>
      </c>
      <c r="F309" s="60"/>
      <c r="G309" s="57"/>
      <c r="H309" s="57"/>
      <c r="I309" s="60">
        <v>1</v>
      </c>
      <c r="J309" s="60">
        <f>ROUND(SUM(I309*D309*E309),2)</f>
        <v>1.19</v>
      </c>
      <c r="K309" s="126"/>
    </row>
    <row r="310" spans="1:11" ht="15.75" x14ac:dyDescent="0.25">
      <c r="A310" s="123" t="s">
        <v>408</v>
      </c>
      <c r="B310" s="124"/>
      <c r="C310" s="57"/>
      <c r="D310" s="60">
        <v>2</v>
      </c>
      <c r="E310" s="60">
        <v>0.6</v>
      </c>
      <c r="F310" s="60"/>
      <c r="G310" s="57"/>
      <c r="H310" s="57"/>
      <c r="I310" s="60">
        <v>1</v>
      </c>
      <c r="J310" s="80">
        <f t="shared" ref="J310:J311" si="30">ROUND(SUM(I310*D310*E310),2)</f>
        <v>1.2</v>
      </c>
      <c r="K310" s="126"/>
    </row>
    <row r="311" spans="1:11" ht="15.75" x14ac:dyDescent="0.25">
      <c r="A311" s="123" t="s">
        <v>409</v>
      </c>
      <c r="B311" s="124"/>
      <c r="C311" s="57"/>
      <c r="D311" s="60">
        <v>1.6</v>
      </c>
      <c r="E311" s="60">
        <v>0.4</v>
      </c>
      <c r="F311" s="60"/>
      <c r="G311" s="57"/>
      <c r="H311" s="57"/>
      <c r="I311" s="60">
        <v>1</v>
      </c>
      <c r="J311" s="80">
        <f t="shared" si="30"/>
        <v>0.64</v>
      </c>
      <c r="K311" s="126"/>
    </row>
    <row r="312" spans="1:11" ht="15.75" x14ac:dyDescent="0.25">
      <c r="A312" s="123" t="s">
        <v>12</v>
      </c>
      <c r="B312" s="124"/>
      <c r="C312" s="124"/>
      <c r="D312" s="124"/>
      <c r="E312" s="124"/>
      <c r="F312" s="124"/>
      <c r="G312" s="124"/>
      <c r="H312" s="124"/>
      <c r="I312" s="124"/>
      <c r="J312" s="13">
        <f>ROUND(SUM(J309:J311),2)</f>
        <v>3.03</v>
      </c>
      <c r="K312" s="126"/>
    </row>
    <row r="313" spans="1:11" ht="15.75" x14ac:dyDescent="0.25">
      <c r="A313" s="127"/>
      <c r="B313" s="128"/>
      <c r="C313" s="128"/>
      <c r="D313" s="128"/>
      <c r="E313" s="128"/>
      <c r="F313" s="128"/>
      <c r="G313" s="128"/>
      <c r="H313" s="128"/>
      <c r="I313" s="128"/>
      <c r="J313" s="128"/>
      <c r="K313" s="129"/>
    </row>
    <row r="314" spans="1:11" ht="15.75" x14ac:dyDescent="0.25">
      <c r="A314" s="2"/>
      <c r="B314" s="3"/>
      <c r="C314" s="3"/>
      <c r="D314" s="3"/>
      <c r="E314" s="3"/>
      <c r="F314" s="3"/>
      <c r="G314" s="3"/>
      <c r="H314" s="3"/>
      <c r="I314" s="3"/>
      <c r="J314" s="3"/>
      <c r="K314" s="4"/>
    </row>
    <row r="315" spans="1:11" ht="15.75" x14ac:dyDescent="0.25">
      <c r="A315" s="2"/>
      <c r="B315" s="3"/>
      <c r="C315" s="3"/>
      <c r="D315" s="3"/>
      <c r="E315" s="3"/>
      <c r="F315" s="3"/>
      <c r="G315" s="3"/>
      <c r="H315" s="3"/>
      <c r="I315" s="3"/>
      <c r="J315" s="3"/>
      <c r="K315" s="4"/>
    </row>
    <row r="316" spans="1:11" ht="15.75" x14ac:dyDescent="0.25">
      <c r="A316" s="2"/>
      <c r="B316" s="3"/>
      <c r="C316" s="3"/>
      <c r="D316" s="3"/>
      <c r="E316" s="3"/>
      <c r="F316" s="3"/>
      <c r="G316" s="3"/>
      <c r="H316" s="3"/>
      <c r="I316" s="3"/>
      <c r="J316" s="3"/>
      <c r="K316" s="4"/>
    </row>
    <row r="317" spans="1:11" ht="15.75" x14ac:dyDescent="0.25">
      <c r="A317" s="2"/>
      <c r="B317" s="3"/>
      <c r="C317" s="3"/>
      <c r="D317" s="3"/>
      <c r="E317" s="3"/>
      <c r="F317" s="3"/>
      <c r="G317" s="3"/>
      <c r="H317" s="3"/>
      <c r="I317" s="3"/>
      <c r="J317" s="3"/>
      <c r="K317" s="4"/>
    </row>
    <row r="318" spans="1:11" ht="15.75" x14ac:dyDescent="0.25">
      <c r="A318" s="2"/>
      <c r="B318" s="3"/>
      <c r="C318" s="3"/>
      <c r="D318" s="3"/>
      <c r="E318" s="3"/>
      <c r="F318" s="3"/>
      <c r="G318" s="3"/>
      <c r="H318" s="3"/>
      <c r="I318" s="3"/>
      <c r="J318" s="3"/>
      <c r="K318" s="4"/>
    </row>
    <row r="319" spans="1:11" ht="15.75" x14ac:dyDescent="0.25">
      <c r="A319" s="2"/>
      <c r="B319" s="149" t="s">
        <v>23</v>
      </c>
      <c r="C319" s="149"/>
      <c r="D319" s="149"/>
      <c r="E319" s="149"/>
      <c r="F319" s="3"/>
      <c r="G319" s="149" t="s">
        <v>261</v>
      </c>
      <c r="H319" s="149"/>
      <c r="I319" s="149"/>
      <c r="J319" s="149"/>
      <c r="K319" s="4"/>
    </row>
    <row r="320" spans="1:11" ht="15.75" x14ac:dyDescent="0.25">
      <c r="A320" s="2"/>
      <c r="B320" s="150" t="s">
        <v>24</v>
      </c>
      <c r="C320" s="150"/>
      <c r="D320" s="150"/>
      <c r="E320" s="150"/>
      <c r="F320" s="3"/>
      <c r="G320" s="150" t="s">
        <v>263</v>
      </c>
      <c r="H320" s="150"/>
      <c r="I320" s="150"/>
      <c r="J320" s="150"/>
      <c r="K320" s="4"/>
    </row>
    <row r="321" spans="1:11" ht="16.5" thickBot="1" x14ac:dyDescent="0.3">
      <c r="A321" s="48"/>
      <c r="B321" s="49"/>
      <c r="C321" s="49"/>
      <c r="D321" s="49"/>
      <c r="E321" s="49"/>
      <c r="F321" s="49"/>
      <c r="G321" s="49"/>
      <c r="H321" s="49"/>
      <c r="I321" s="49"/>
      <c r="J321" s="49"/>
      <c r="K321" s="50"/>
    </row>
    <row r="322" spans="1:1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</row>
    <row r="323" spans="1:1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</row>
    <row r="324" spans="1:1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</row>
    <row r="325" spans="1:1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</row>
    <row r="326" spans="1:1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</row>
    <row r="327" spans="1:1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</row>
    <row r="328" spans="1:1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</row>
    <row r="329" spans="1:1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</row>
    <row r="330" spans="1:1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</row>
    <row r="331" spans="1:1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</row>
    <row r="332" spans="1:1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</row>
    <row r="333" spans="1:1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</row>
    <row r="334" spans="1:1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</row>
    <row r="335" spans="1:1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</row>
    <row r="336" spans="1:1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</row>
    <row r="337" spans="1:1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</row>
    <row r="338" spans="1:1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</row>
    <row r="339" spans="1:1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</row>
    <row r="340" spans="1:1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</row>
    <row r="341" spans="1:1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</row>
    <row r="342" spans="1:1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</row>
    <row r="343" spans="1:1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</row>
    <row r="344" spans="1:1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</row>
    <row r="345" spans="1:1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</row>
    <row r="346" spans="1:1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</row>
    <row r="347" spans="1:1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</row>
    <row r="348" spans="1:1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</row>
    <row r="349" spans="1:1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</row>
    <row r="350" spans="1:1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</row>
    <row r="351" spans="1:1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</row>
    <row r="352" spans="1:1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</row>
    <row r="353" spans="1:1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</row>
    <row r="354" spans="1:1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</row>
    <row r="355" spans="1:1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</row>
    <row r="356" spans="1:1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</row>
    <row r="357" spans="1:1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</row>
    <row r="358" spans="1:1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</row>
    <row r="359" spans="1:1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</row>
    <row r="360" spans="1:1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</row>
    <row r="361" spans="1:1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</row>
    <row r="362" spans="1:1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</row>
    <row r="363" spans="1:1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</row>
    <row r="364" spans="1:1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</row>
    <row r="365" spans="1:1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</row>
    <row r="366" spans="1:1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</row>
    <row r="367" spans="1:1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</row>
    <row r="368" spans="1:1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1:1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1:1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</row>
    <row r="372" spans="1:1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</row>
    <row r="373" spans="1:1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</row>
    <row r="374" spans="1:1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</row>
    <row r="375" spans="1:1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</row>
    <row r="376" spans="1:1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</row>
    <row r="377" spans="1:1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</row>
    <row r="379" spans="1:1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spans="1:1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1:1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1:1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</row>
    <row r="383" spans="1:1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</row>
    <row r="384" spans="1:1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</row>
    <row r="385" spans="1:1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</row>
    <row r="386" spans="1:1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</row>
    <row r="387" spans="1:1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</row>
    <row r="388" spans="1:1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</row>
    <row r="389" spans="1:1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</row>
    <row r="390" spans="1:1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</row>
    <row r="391" spans="1:1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</row>
    <row r="392" spans="1:1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1:1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</row>
    <row r="394" spans="1:1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</row>
    <row r="395" spans="1:1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</row>
    <row r="396" spans="1:1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</row>
    <row r="397" spans="1:1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</row>
    <row r="398" spans="1:1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</row>
    <row r="399" spans="1:1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</row>
    <row r="400" spans="1:1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</row>
    <row r="401" spans="1:1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</row>
    <row r="402" spans="1:1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</row>
    <row r="403" spans="1:1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</row>
    <row r="404" spans="1:1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</row>
    <row r="405" spans="1:1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</row>
    <row r="406" spans="1:1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</row>
    <row r="407" spans="1:1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</row>
    <row r="408" spans="1:1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</row>
    <row r="409" spans="1:1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</row>
    <row r="410" spans="1:1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</row>
    <row r="411" spans="1:1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</row>
    <row r="412" spans="1:1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</row>
    <row r="413" spans="1:1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</row>
    <row r="414" spans="1:1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</row>
    <row r="415" spans="1:1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</row>
    <row r="416" spans="1:1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</row>
    <row r="417" spans="1:1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</row>
    <row r="418" spans="1:1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</row>
    <row r="419" spans="1:1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</row>
    <row r="420" spans="1:1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</row>
    <row r="421" spans="1:1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</row>
    <row r="422" spans="1:1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</row>
    <row r="423" spans="1:1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</row>
    <row r="424" spans="1:1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</row>
    <row r="425" spans="1:1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</row>
    <row r="426" spans="1:1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</row>
    <row r="427" spans="1:1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</row>
    <row r="428" spans="1:1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</row>
    <row r="429" spans="1:1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</row>
    <row r="430" spans="1:1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</row>
    <row r="431" spans="1:1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</row>
    <row r="432" spans="1:1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</row>
    <row r="433" spans="1:1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</row>
    <row r="434" spans="1:1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</row>
    <row r="435" spans="1:1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</row>
    <row r="436" spans="1:1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</row>
    <row r="437" spans="1:1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</row>
    <row r="438" spans="1:1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</row>
    <row r="439" spans="1:1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</row>
    <row r="440" spans="1:1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</row>
    <row r="441" spans="1:1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</row>
    <row r="442" spans="1:1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</row>
    <row r="443" spans="1:1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</row>
    <row r="444" spans="1:1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</row>
    <row r="445" spans="1:1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</row>
    <row r="446" spans="1:1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</row>
    <row r="447" spans="1:1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</row>
    <row r="448" spans="1:1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</row>
    <row r="449" spans="1:1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</row>
    <row r="450" spans="1:1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</row>
    <row r="451" spans="1:1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</row>
    <row r="452" spans="1:1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</row>
    <row r="453" spans="1:1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</row>
    <row r="454" spans="1:1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</row>
    <row r="455" spans="1:1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</row>
    <row r="456" spans="1:1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</row>
    <row r="457" spans="1:1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</row>
    <row r="458" spans="1:1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</row>
    <row r="459" spans="1:1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</row>
    <row r="460" spans="1:1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</row>
    <row r="461" spans="1:1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</row>
    <row r="462" spans="1:1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</row>
    <row r="463" spans="1:1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</row>
    <row r="464" spans="1:1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</row>
    <row r="465" spans="1:1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</row>
    <row r="466" spans="1:1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</row>
    <row r="467" spans="1:1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</row>
    <row r="468" spans="1:1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</row>
    <row r="469" spans="1:1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</row>
    <row r="470" spans="1:1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</row>
    <row r="471" spans="1:1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</row>
    <row r="472" spans="1:1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</row>
    <row r="473" spans="1:1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</row>
    <row r="474" spans="1:1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</row>
    <row r="475" spans="1:1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</row>
    <row r="476" spans="1:1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</row>
    <row r="477" spans="1:1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</row>
    <row r="478" spans="1:1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</row>
    <row r="479" spans="1:1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</row>
    <row r="480" spans="1:1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</row>
    <row r="481" spans="1:1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</row>
    <row r="482" spans="1:1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</row>
    <row r="483" spans="1:1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</row>
    <row r="484" spans="1:1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</row>
    <row r="485" spans="1:1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</row>
    <row r="486" spans="1:1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</row>
    <row r="487" spans="1:1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</row>
    <row r="488" spans="1:1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</row>
    <row r="489" spans="1:1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</row>
    <row r="490" spans="1:1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</row>
    <row r="491" spans="1:1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</row>
    <row r="492" spans="1:1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</row>
    <row r="493" spans="1:1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</row>
    <row r="494" spans="1:1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</row>
    <row r="495" spans="1:1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</row>
    <row r="496" spans="1:1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</row>
    <row r="497" spans="1:1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</row>
    <row r="498" spans="1:1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</row>
    <row r="499" spans="1:1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</row>
    <row r="500" spans="1:1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</row>
    <row r="501" spans="1:1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</row>
    <row r="502" spans="1:1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</row>
    <row r="503" spans="1:1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</row>
    <row r="504" spans="1:1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</row>
    <row r="505" spans="1:1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</row>
    <row r="506" spans="1:1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</row>
    <row r="507" spans="1:1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</row>
    <row r="508" spans="1:1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</row>
    <row r="509" spans="1:1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</row>
    <row r="510" spans="1:1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</row>
    <row r="511" spans="1:1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</row>
    <row r="512" spans="1:1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</row>
    <row r="513" spans="1:1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</row>
    <row r="514" spans="1:1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</row>
    <row r="515" spans="1:1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</row>
    <row r="516" spans="1:1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</row>
    <row r="517" spans="1:1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</row>
    <row r="518" spans="1:1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</row>
    <row r="519" spans="1:1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</row>
    <row r="520" spans="1:1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</row>
    <row r="521" spans="1:1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</row>
    <row r="522" spans="1:1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</row>
    <row r="523" spans="1:1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</row>
    <row r="524" spans="1:1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</row>
    <row r="525" spans="1:1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</row>
    <row r="526" spans="1:1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</row>
    <row r="527" spans="1:1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</row>
    <row r="528" spans="1:1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</row>
    <row r="529" spans="1:1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</row>
    <row r="530" spans="1:1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</row>
    <row r="531" spans="1:1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</row>
    <row r="532" spans="1:1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</row>
    <row r="533" spans="1:1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</row>
    <row r="534" spans="1:1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</row>
    <row r="535" spans="1:1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</row>
    <row r="536" spans="1:1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</row>
    <row r="537" spans="1:1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</row>
    <row r="538" spans="1:1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</row>
    <row r="539" spans="1:1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</row>
    <row r="540" spans="1:1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</row>
    <row r="541" spans="1:1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</row>
    <row r="542" spans="1:1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</row>
    <row r="543" spans="1:1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</row>
    <row r="544" spans="1:1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</row>
    <row r="545" spans="1:1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</row>
    <row r="546" spans="1:1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</row>
    <row r="547" spans="1:1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</row>
    <row r="548" spans="1:1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</row>
    <row r="549" spans="1:1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</row>
    <row r="550" spans="1:1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</row>
    <row r="551" spans="1:1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</row>
    <row r="552" spans="1:1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</row>
    <row r="553" spans="1:1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</row>
    <row r="554" spans="1:1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</row>
    <row r="555" spans="1:1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</row>
    <row r="556" spans="1:1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</row>
    <row r="557" spans="1:1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</row>
    <row r="558" spans="1:1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</row>
    <row r="559" spans="1:1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</row>
    <row r="560" spans="1:1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</row>
    <row r="561" spans="1:1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</row>
    <row r="562" spans="1:1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</row>
    <row r="563" spans="1:1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</row>
    <row r="564" spans="1:1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</row>
    <row r="565" spans="1:1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</row>
    <row r="566" spans="1:1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</row>
    <row r="567" spans="1:1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</row>
    <row r="568" spans="1:1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</row>
    <row r="569" spans="1:1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</row>
    <row r="570" spans="1:1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</row>
    <row r="571" spans="1:1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</row>
    <row r="572" spans="1:1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</row>
    <row r="573" spans="1:1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</row>
    <row r="574" spans="1:1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</row>
    <row r="575" spans="1:1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</row>
    <row r="576" spans="1:1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</row>
    <row r="577" spans="1:1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</row>
    <row r="578" spans="1:1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</row>
    <row r="579" spans="1:1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</row>
    <row r="580" spans="1:1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</row>
    <row r="581" spans="1:1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</row>
    <row r="582" spans="1:1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</row>
    <row r="583" spans="1:1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</row>
    <row r="584" spans="1:1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</row>
    <row r="585" spans="1:1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</row>
    <row r="586" spans="1:1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</row>
    <row r="587" spans="1:1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</row>
    <row r="588" spans="1:1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</row>
    <row r="589" spans="1:1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</row>
    <row r="590" spans="1:1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</row>
    <row r="591" spans="1:1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</row>
    <row r="592" spans="1:1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</row>
    <row r="593" spans="1:1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</row>
    <row r="594" spans="1:1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</row>
    <row r="595" spans="1:1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</row>
    <row r="596" spans="1:1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</row>
    <row r="597" spans="1:1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</row>
    <row r="598" spans="1:1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</row>
    <row r="599" spans="1:1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</row>
    <row r="600" spans="1:1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</row>
    <row r="601" spans="1:1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</row>
    <row r="602" spans="1:1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</row>
    <row r="603" spans="1:1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</row>
    <row r="604" spans="1:1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</row>
    <row r="605" spans="1:1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</row>
    <row r="606" spans="1:1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</row>
    <row r="607" spans="1:1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</row>
    <row r="608" spans="1:1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</row>
    <row r="609" spans="1:1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</row>
    <row r="610" spans="1:1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</row>
    <row r="611" spans="1:1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</row>
    <row r="612" spans="1:1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</row>
    <row r="613" spans="1:1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</row>
    <row r="614" spans="1:1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</row>
    <row r="615" spans="1:1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</row>
    <row r="616" spans="1:1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</row>
    <row r="617" spans="1:1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</row>
    <row r="618" spans="1:1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</row>
    <row r="619" spans="1:1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</row>
    <row r="620" spans="1:1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</row>
    <row r="621" spans="1:1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</row>
    <row r="622" spans="1:1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</row>
    <row r="623" spans="1:1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</row>
    <row r="624" spans="1:1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</row>
    <row r="625" spans="1:1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</row>
    <row r="626" spans="1:1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</row>
    <row r="627" spans="1:1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</row>
    <row r="628" spans="1:1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</row>
    <row r="629" spans="1:1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</row>
    <row r="630" spans="1:1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</row>
    <row r="631" spans="1:1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</row>
    <row r="632" spans="1:1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</row>
    <row r="633" spans="1:1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</row>
    <row r="634" spans="1:1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</row>
    <row r="635" spans="1:1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</row>
    <row r="636" spans="1:1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</row>
    <row r="637" spans="1:1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</row>
    <row r="638" spans="1:1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</row>
    <row r="639" spans="1:1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</row>
    <row r="640" spans="1:1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</row>
    <row r="641" spans="1:1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</row>
    <row r="642" spans="1:1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</row>
    <row r="643" spans="1:1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</row>
    <row r="644" spans="1:1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</row>
    <row r="645" spans="1:1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</row>
    <row r="646" spans="1:1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</row>
    <row r="647" spans="1:1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</row>
    <row r="648" spans="1:1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</row>
    <row r="649" spans="1:1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</row>
    <row r="650" spans="1:1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</row>
    <row r="651" spans="1:1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</row>
    <row r="652" spans="1:1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</row>
    <row r="653" spans="1:1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</row>
    <row r="654" spans="1:1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</row>
    <row r="655" spans="1:1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</row>
    <row r="656" spans="1:1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</row>
    <row r="657" spans="1:1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</row>
    <row r="658" spans="1:1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</row>
    <row r="659" spans="1:1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</row>
    <row r="660" spans="1:1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</row>
    <row r="661" spans="1:1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</row>
    <row r="662" spans="1:1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</row>
    <row r="663" spans="1:1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</row>
    <row r="664" spans="1:1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</row>
    <row r="665" spans="1:1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</row>
    <row r="666" spans="1:1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</row>
    <row r="667" spans="1:1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</row>
    <row r="668" spans="1:1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</row>
    <row r="669" spans="1:1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</row>
    <row r="670" spans="1:1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</row>
    <row r="671" spans="1:1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</row>
    <row r="672" spans="1:1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</row>
    <row r="673" spans="1:1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</row>
    <row r="674" spans="1:1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</row>
    <row r="675" spans="1:1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</row>
    <row r="676" spans="1:1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</row>
    <row r="677" spans="1:1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</row>
    <row r="678" spans="1:1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</row>
    <row r="679" spans="1:1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</row>
    <row r="680" spans="1:1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</row>
    <row r="681" spans="1:1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</row>
    <row r="682" spans="1:1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</row>
    <row r="683" spans="1:1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</row>
    <row r="684" spans="1:1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</row>
    <row r="685" spans="1:1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</row>
    <row r="686" spans="1:1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</row>
    <row r="687" spans="1:1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</row>
    <row r="688" spans="1:1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</row>
    <row r="689" spans="1:1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</row>
    <row r="690" spans="1:1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</row>
    <row r="691" spans="1:1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</row>
    <row r="692" spans="1:1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</row>
    <row r="693" spans="1:1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</row>
    <row r="694" spans="1:1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</row>
    <row r="695" spans="1:1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</row>
    <row r="696" spans="1:1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</row>
    <row r="697" spans="1:1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</row>
    <row r="698" spans="1:1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</row>
    <row r="699" spans="1:1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</row>
    <row r="700" spans="1:1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</row>
    <row r="701" spans="1:1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</row>
    <row r="702" spans="1:1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</row>
    <row r="703" spans="1:1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</row>
    <row r="704" spans="1:1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</row>
    <row r="705" spans="1:1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</row>
    <row r="706" spans="1:1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</row>
    <row r="707" spans="1:1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</row>
    <row r="708" spans="1:1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</row>
    <row r="709" spans="1:1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</row>
    <row r="710" spans="1:1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</row>
    <row r="711" spans="1:1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</row>
    <row r="712" spans="1:1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</row>
    <row r="713" spans="1:1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</row>
    <row r="714" spans="1:1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</row>
    <row r="715" spans="1:1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</row>
    <row r="716" spans="1:1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</row>
    <row r="717" spans="1:1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</row>
    <row r="718" spans="1:1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</row>
    <row r="719" spans="1:1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</row>
    <row r="720" spans="1:1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</row>
    <row r="721" spans="1:1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</row>
    <row r="722" spans="1:1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</row>
    <row r="723" spans="1:1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</row>
    <row r="724" spans="1:1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</row>
    <row r="725" spans="1:1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</row>
    <row r="726" spans="1:1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</row>
    <row r="727" spans="1:1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</row>
    <row r="728" spans="1:1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</row>
    <row r="729" spans="1:1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</row>
    <row r="730" spans="1:1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</row>
    <row r="731" spans="1:1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</row>
    <row r="732" spans="1:1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</row>
    <row r="733" spans="1:1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</row>
    <row r="734" spans="1:1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</row>
    <row r="735" spans="1:1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</row>
    <row r="736" spans="1:1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</row>
    <row r="737" spans="1:1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</row>
    <row r="738" spans="1:1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</row>
    <row r="739" spans="1:1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</row>
    <row r="740" spans="1:1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</row>
    <row r="741" spans="1:1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</row>
    <row r="742" spans="1:1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</row>
    <row r="743" spans="1:1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</row>
    <row r="744" spans="1:1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</row>
    <row r="745" spans="1:1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</row>
    <row r="746" spans="1:1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</row>
    <row r="747" spans="1:1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</row>
    <row r="748" spans="1:1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</row>
    <row r="749" spans="1:1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</row>
    <row r="750" spans="1:1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</row>
    <row r="751" spans="1:1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</row>
    <row r="752" spans="1:1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</row>
    <row r="753" spans="1:1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</row>
    <row r="754" spans="1:1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</row>
    <row r="755" spans="1:1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</row>
    <row r="756" spans="1:1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</row>
    <row r="757" spans="1:1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</row>
    <row r="758" spans="1:1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</row>
    <row r="759" spans="1:1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</row>
    <row r="760" spans="1:1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</row>
    <row r="761" spans="1:1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</row>
    <row r="762" spans="1:1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</row>
    <row r="763" spans="1:1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</row>
    <row r="764" spans="1:1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</row>
    <row r="765" spans="1:1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</row>
    <row r="766" spans="1:1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</row>
    <row r="767" spans="1:1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</row>
    <row r="768" spans="1:1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</row>
    <row r="769" spans="1:1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</row>
    <row r="770" spans="1:1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</row>
    <row r="771" spans="1:1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</row>
    <row r="772" spans="1:1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</row>
    <row r="773" spans="1:1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</row>
    <row r="774" spans="1:1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</row>
    <row r="775" spans="1:1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</row>
    <row r="776" spans="1:1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</row>
    <row r="777" spans="1:1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</row>
    <row r="778" spans="1:1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</row>
    <row r="779" spans="1:1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</row>
    <row r="780" spans="1:1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</row>
    <row r="781" spans="1:1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</row>
    <row r="782" spans="1:1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</row>
    <row r="783" spans="1:1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</row>
    <row r="784" spans="1:1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</row>
    <row r="785" spans="1:1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</row>
    <row r="786" spans="1:1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</row>
    <row r="787" spans="1:1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</row>
    <row r="788" spans="1:1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</row>
    <row r="789" spans="1:1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</row>
    <row r="790" spans="1:1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</row>
    <row r="791" spans="1:1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</row>
    <row r="792" spans="1:1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</row>
    <row r="793" spans="1:1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</row>
    <row r="794" spans="1:1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</row>
    <row r="795" spans="1:1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</row>
    <row r="796" spans="1:1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</row>
    <row r="797" spans="1:1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</row>
    <row r="798" spans="1:1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</row>
    <row r="799" spans="1:1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</row>
    <row r="800" spans="1:1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</row>
    <row r="801" spans="1:1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</row>
    <row r="802" spans="1:1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</row>
    <row r="803" spans="1:1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</row>
    <row r="804" spans="1:1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</row>
    <row r="805" spans="1:1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</row>
    <row r="806" spans="1:1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</row>
    <row r="807" spans="1:1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</row>
    <row r="808" spans="1:1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</row>
    <row r="809" spans="1:1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</row>
    <row r="810" spans="1:1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</row>
    <row r="811" spans="1:1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</row>
    <row r="812" spans="1:1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</row>
    <row r="813" spans="1:1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</row>
    <row r="814" spans="1:1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</row>
    <row r="815" spans="1:1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</row>
    <row r="816" spans="1:1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</row>
    <row r="817" spans="1:1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</row>
    <row r="818" spans="1:1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</row>
    <row r="819" spans="1:1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</row>
    <row r="820" spans="1:1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</row>
    <row r="821" spans="1:1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</row>
    <row r="822" spans="1:1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</row>
    <row r="823" spans="1:1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</row>
    <row r="824" spans="1:1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</row>
    <row r="825" spans="1:1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</row>
    <row r="826" spans="1:1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</row>
    <row r="827" spans="1:1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</row>
    <row r="828" spans="1:1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</row>
    <row r="829" spans="1:1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</row>
    <row r="830" spans="1:1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</row>
    <row r="831" spans="1:1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</row>
    <row r="832" spans="1:1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</row>
    <row r="833" spans="1:1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</row>
    <row r="834" spans="1:1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</row>
    <row r="835" spans="1:1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</row>
    <row r="836" spans="1:1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</row>
    <row r="837" spans="1:1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</row>
    <row r="838" spans="1:1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</row>
    <row r="839" spans="1:1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</row>
    <row r="840" spans="1:1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</row>
    <row r="841" spans="1:1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</row>
    <row r="842" spans="1:1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</row>
    <row r="843" spans="1:1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</row>
    <row r="844" spans="1:1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</row>
    <row r="845" spans="1:1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</row>
    <row r="846" spans="1:1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</row>
    <row r="847" spans="1:1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</row>
    <row r="848" spans="1:1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</row>
    <row r="849" spans="1:1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</row>
    <row r="850" spans="1:1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</row>
    <row r="851" spans="1:1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</row>
    <row r="852" spans="1:1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</row>
    <row r="853" spans="1:1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</row>
    <row r="854" spans="1:1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</row>
    <row r="855" spans="1:1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</row>
    <row r="856" spans="1:1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</row>
    <row r="857" spans="1:1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</row>
    <row r="858" spans="1:1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</row>
    <row r="859" spans="1:1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</row>
  </sheetData>
  <mergeCells count="367">
    <mergeCell ref="A224:K224"/>
    <mergeCell ref="C213:K213"/>
    <mergeCell ref="A214:B214"/>
    <mergeCell ref="A215:B215"/>
    <mergeCell ref="K215:K223"/>
    <mergeCell ref="A216:B216"/>
    <mergeCell ref="A217:B217"/>
    <mergeCell ref="A218:B218"/>
    <mergeCell ref="A219:B219"/>
    <mergeCell ref="A220:B220"/>
    <mergeCell ref="A221:B221"/>
    <mergeCell ref="A222:B222"/>
    <mergeCell ref="A223:I223"/>
    <mergeCell ref="A212:K212"/>
    <mergeCell ref="C189:K189"/>
    <mergeCell ref="A190:B190"/>
    <mergeCell ref="A191:B191"/>
    <mergeCell ref="K191:K192"/>
    <mergeCell ref="A192:I192"/>
    <mergeCell ref="A193:K193"/>
    <mergeCell ref="C194:K194"/>
    <mergeCell ref="A195:B195"/>
    <mergeCell ref="A196:B196"/>
    <mergeCell ref="K196:K211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1:I211"/>
    <mergeCell ref="A161:K161"/>
    <mergeCell ref="C103:K103"/>
    <mergeCell ref="A104:B104"/>
    <mergeCell ref="A105:B105"/>
    <mergeCell ref="K105:K106"/>
    <mergeCell ref="A106:I106"/>
    <mergeCell ref="A107:K107"/>
    <mergeCell ref="A89:B89"/>
    <mergeCell ref="C89:K89"/>
    <mergeCell ref="A147:K147"/>
    <mergeCell ref="K158:K160"/>
    <mergeCell ref="A160:I160"/>
    <mergeCell ref="A116:B116"/>
    <mergeCell ref="K116:K130"/>
    <mergeCell ref="A130:I130"/>
    <mergeCell ref="C156:K156"/>
    <mergeCell ref="A157:B157"/>
    <mergeCell ref="A151:B151"/>
    <mergeCell ref="A152:B152"/>
    <mergeCell ref="A153:B153"/>
    <mergeCell ref="A110:B110"/>
    <mergeCell ref="K110:K112"/>
    <mergeCell ref="A112:I112"/>
    <mergeCell ref="A313:K313"/>
    <mergeCell ref="A26:B26"/>
    <mergeCell ref="A27:B27"/>
    <mergeCell ref="A33:B33"/>
    <mergeCell ref="A44:B44"/>
    <mergeCell ref="A61:B61"/>
    <mergeCell ref="C61:K61"/>
    <mergeCell ref="A98:B98"/>
    <mergeCell ref="C62:K62"/>
    <mergeCell ref="A63:B63"/>
    <mergeCell ref="A64:B64"/>
    <mergeCell ref="K64:K67"/>
    <mergeCell ref="A65:B65"/>
    <mergeCell ref="A67:I67"/>
    <mergeCell ref="A68:K68"/>
    <mergeCell ref="C74:K74"/>
    <mergeCell ref="A75:B75"/>
    <mergeCell ref="A76:B76"/>
    <mergeCell ref="K76:K77"/>
    <mergeCell ref="A158:B158"/>
    <mergeCell ref="A277:B277"/>
    <mergeCell ref="A278:B278"/>
    <mergeCell ref="C292:K292"/>
    <mergeCell ref="A293:B293"/>
    <mergeCell ref="A294:B294"/>
    <mergeCell ref="K294:K295"/>
    <mergeCell ref="A295:I295"/>
    <mergeCell ref="A281:B281"/>
    <mergeCell ref="C281:K281"/>
    <mergeCell ref="C287:K287"/>
    <mergeCell ref="A288:B288"/>
    <mergeCell ref="A289:B289"/>
    <mergeCell ref="K289:K290"/>
    <mergeCell ref="A290:I290"/>
    <mergeCell ref="A291:K291"/>
    <mergeCell ref="C282:K282"/>
    <mergeCell ref="A283:B283"/>
    <mergeCell ref="A284:B284"/>
    <mergeCell ref="K284:K285"/>
    <mergeCell ref="A285:I285"/>
    <mergeCell ref="A286:K286"/>
    <mergeCell ref="A312:I312"/>
    <mergeCell ref="A296:K296"/>
    <mergeCell ref="C297:K297"/>
    <mergeCell ref="A298:B298"/>
    <mergeCell ref="A299:B299"/>
    <mergeCell ref="K299:K300"/>
    <mergeCell ref="A300:I300"/>
    <mergeCell ref="A301:K301"/>
    <mergeCell ref="C302:K302"/>
    <mergeCell ref="A303:B303"/>
    <mergeCell ref="A310:B310"/>
    <mergeCell ref="A311:B311"/>
    <mergeCell ref="A308:B308"/>
    <mergeCell ref="A309:B309"/>
    <mergeCell ref="K309:K312"/>
    <mergeCell ref="A304:B304"/>
    <mergeCell ref="K304:K305"/>
    <mergeCell ref="A305:I305"/>
    <mergeCell ref="A306:K306"/>
    <mergeCell ref="C307:K307"/>
    <mergeCell ref="K278:K279"/>
    <mergeCell ref="A279:I279"/>
    <mergeCell ref="A280:K280"/>
    <mergeCell ref="A13:K13"/>
    <mergeCell ref="A14:B14"/>
    <mergeCell ref="C14:K14"/>
    <mergeCell ref="A162:B162"/>
    <mergeCell ref="C162:K162"/>
    <mergeCell ref="C163:K163"/>
    <mergeCell ref="A164:B164"/>
    <mergeCell ref="K165:K168"/>
    <mergeCell ref="A165:B165"/>
    <mergeCell ref="A168:I168"/>
    <mergeCell ref="C69:K69"/>
    <mergeCell ref="A70:B70"/>
    <mergeCell ref="A71:B71"/>
    <mergeCell ref="K71:K72"/>
    <mergeCell ref="A72:I72"/>
    <mergeCell ref="A73:K73"/>
    <mergeCell ref="C15:K15"/>
    <mergeCell ref="A16:B16"/>
    <mergeCell ref="A25:B25"/>
    <mergeCell ref="K26:K28"/>
    <mergeCell ref="A28:I28"/>
    <mergeCell ref="B1:H1"/>
    <mergeCell ref="B2:H2"/>
    <mergeCell ref="I1:K2"/>
    <mergeCell ref="A10:B10"/>
    <mergeCell ref="A11:B11"/>
    <mergeCell ref="K11:K12"/>
    <mergeCell ref="A6:K6"/>
    <mergeCell ref="A8:B8"/>
    <mergeCell ref="C8:K8"/>
    <mergeCell ref="C9:K9"/>
    <mergeCell ref="I4:K4"/>
    <mergeCell ref="I3:K3"/>
    <mergeCell ref="A5:G5"/>
    <mergeCell ref="B4:G4"/>
    <mergeCell ref="B3:G3"/>
    <mergeCell ref="C7:K7"/>
    <mergeCell ref="A12:I12"/>
    <mergeCell ref="B319:E319"/>
    <mergeCell ref="B320:E320"/>
    <mergeCell ref="G319:J319"/>
    <mergeCell ref="G320:J320"/>
    <mergeCell ref="A172:B172"/>
    <mergeCell ref="A169:K169"/>
    <mergeCell ref="C170:K170"/>
    <mergeCell ref="A171:B171"/>
    <mergeCell ref="K172:K187"/>
    <mergeCell ref="A183:B183"/>
    <mergeCell ref="A187:I187"/>
    <mergeCell ref="A184:B184"/>
    <mergeCell ref="A185:B185"/>
    <mergeCell ref="A188:K188"/>
    <mergeCell ref="C225:K225"/>
    <mergeCell ref="A226:B226"/>
    <mergeCell ref="A273:B273"/>
    <mergeCell ref="K273:K274"/>
    <mergeCell ref="A274:I274"/>
    <mergeCell ref="A255:B255"/>
    <mergeCell ref="A251:B251"/>
    <mergeCell ref="A252:B252"/>
    <mergeCell ref="K252:K258"/>
    <mergeCell ref="A258:I258"/>
    <mergeCell ref="A17:B17"/>
    <mergeCell ref="K17:K22"/>
    <mergeCell ref="A22:I22"/>
    <mergeCell ref="A23:K23"/>
    <mergeCell ref="C24:K24"/>
    <mergeCell ref="A18:B18"/>
    <mergeCell ref="A102:B102"/>
    <mergeCell ref="C102:K102"/>
    <mergeCell ref="A49:I49"/>
    <mergeCell ref="A50:K50"/>
    <mergeCell ref="C51:K51"/>
    <mergeCell ref="A52:B52"/>
    <mergeCell ref="A53:B53"/>
    <mergeCell ref="K53:K54"/>
    <mergeCell ref="A54:I54"/>
    <mergeCell ref="A55:K55"/>
    <mergeCell ref="C30:K30"/>
    <mergeCell ref="A83:K83"/>
    <mergeCell ref="C84:K84"/>
    <mergeCell ref="A85:B85"/>
    <mergeCell ref="A77:I77"/>
    <mergeCell ref="A78:K78"/>
    <mergeCell ref="C79:K79"/>
    <mergeCell ref="A19:B19"/>
    <mergeCell ref="K81:K82"/>
    <mergeCell ref="A82:I82"/>
    <mergeCell ref="A88:K88"/>
    <mergeCell ref="C108:K108"/>
    <mergeCell ref="A109:B109"/>
    <mergeCell ref="C42:K42"/>
    <mergeCell ref="A43:B43"/>
    <mergeCell ref="K44:K49"/>
    <mergeCell ref="A124:B124"/>
    <mergeCell ref="A117:B117"/>
    <mergeCell ref="A121:B121"/>
    <mergeCell ref="K32:K34"/>
    <mergeCell ref="A34:I34"/>
    <mergeCell ref="A35:K35"/>
    <mergeCell ref="C36:K36"/>
    <mergeCell ref="A37:B37"/>
    <mergeCell ref="A38:B38"/>
    <mergeCell ref="K38:K40"/>
    <mergeCell ref="A40:I40"/>
    <mergeCell ref="A80:B80"/>
    <mergeCell ref="A32:B32"/>
    <mergeCell ref="A39:B39"/>
    <mergeCell ref="K86:K87"/>
    <mergeCell ref="A87:I87"/>
    <mergeCell ref="A41:K41"/>
    <mergeCell ref="A118:B118"/>
    <mergeCell ref="A119:B119"/>
    <mergeCell ref="A120:B120"/>
    <mergeCell ref="A257:B257"/>
    <mergeCell ref="A234:B234"/>
    <mergeCell ref="A142:B142"/>
    <mergeCell ref="A143:B143"/>
    <mergeCell ref="A144:B144"/>
    <mergeCell ref="A145:B145"/>
    <mergeCell ref="A166:B166"/>
    <mergeCell ref="A66:B66"/>
    <mergeCell ref="A129:B129"/>
    <mergeCell ref="A128:B128"/>
    <mergeCell ref="A135:B135"/>
    <mergeCell ref="A136:B136"/>
    <mergeCell ref="A137:B137"/>
    <mergeCell ref="A138:B138"/>
    <mergeCell ref="A139:B139"/>
    <mergeCell ref="A140:B140"/>
    <mergeCell ref="A141:B141"/>
    <mergeCell ref="A81:B81"/>
    <mergeCell ref="A259:K259"/>
    <mergeCell ref="A260:B260"/>
    <mergeCell ref="C260:K260"/>
    <mergeCell ref="A267:B267"/>
    <mergeCell ref="A256:B256"/>
    <mergeCell ref="A270:K270"/>
    <mergeCell ref="A91:B91"/>
    <mergeCell ref="A92:B92"/>
    <mergeCell ref="K92:K100"/>
    <mergeCell ref="A99:B99"/>
    <mergeCell ref="A100:I100"/>
    <mergeCell ref="A93:B93"/>
    <mergeCell ref="A97:B97"/>
    <mergeCell ref="A96:B96"/>
    <mergeCell ref="C148:K148"/>
    <mergeCell ref="A149:B149"/>
    <mergeCell ref="A150:B150"/>
    <mergeCell ref="K150:K154"/>
    <mergeCell ref="A154:I154"/>
    <mergeCell ref="A155:K155"/>
    <mergeCell ref="A167:B167"/>
    <mergeCell ref="A186:B186"/>
    <mergeCell ref="A210:B210"/>
    <mergeCell ref="C266:K266"/>
    <mergeCell ref="A246:B246"/>
    <mergeCell ref="A247:B247"/>
    <mergeCell ref="A241:I241"/>
    <mergeCell ref="C243:K243"/>
    <mergeCell ref="A244:B244"/>
    <mergeCell ref="K245:K248"/>
    <mergeCell ref="A245:B245"/>
    <mergeCell ref="A248:I248"/>
    <mergeCell ref="K227:K241"/>
    <mergeCell ref="A235:B235"/>
    <mergeCell ref="A236:B236"/>
    <mergeCell ref="A237:B237"/>
    <mergeCell ref="A238:B238"/>
    <mergeCell ref="A239:B239"/>
    <mergeCell ref="A240:B240"/>
    <mergeCell ref="A227:B227"/>
    <mergeCell ref="A228:B228"/>
    <mergeCell ref="A233:B233"/>
    <mergeCell ref="A242:K242"/>
    <mergeCell ref="C276:K276"/>
    <mergeCell ref="C250:K250"/>
    <mergeCell ref="C261:K261"/>
    <mergeCell ref="A262:B262"/>
    <mergeCell ref="A146:I146"/>
    <mergeCell ref="A94:B94"/>
    <mergeCell ref="A95:B95"/>
    <mergeCell ref="A101:K101"/>
    <mergeCell ref="A253:B253"/>
    <mergeCell ref="A254:B254"/>
    <mergeCell ref="C152:C153"/>
    <mergeCell ref="A263:B263"/>
    <mergeCell ref="K263:K264"/>
    <mergeCell ref="A264:I264"/>
    <mergeCell ref="A249:K249"/>
    <mergeCell ref="A265:K265"/>
    <mergeCell ref="A275:K275"/>
    <mergeCell ref="A272:B272"/>
    <mergeCell ref="A268:B268"/>
    <mergeCell ref="K268:K269"/>
    <mergeCell ref="A269:I269"/>
    <mergeCell ref="A126:B126"/>
    <mergeCell ref="A127:B127"/>
    <mergeCell ref="C271:K271"/>
    <mergeCell ref="A175:B175"/>
    <mergeCell ref="A176:B176"/>
    <mergeCell ref="A177:B177"/>
    <mergeCell ref="A182:B182"/>
    <mergeCell ref="A178:B178"/>
    <mergeCell ref="A179:B179"/>
    <mergeCell ref="A180:B180"/>
    <mergeCell ref="A159:B159"/>
    <mergeCell ref="A20:B20"/>
    <mergeCell ref="A21:B21"/>
    <mergeCell ref="A45:B45"/>
    <mergeCell ref="A46:B46"/>
    <mergeCell ref="A47:B47"/>
    <mergeCell ref="A48:B48"/>
    <mergeCell ref="A122:B122"/>
    <mergeCell ref="A86:B86"/>
    <mergeCell ref="A31:B31"/>
    <mergeCell ref="A125:B125"/>
    <mergeCell ref="A29:K29"/>
    <mergeCell ref="A111:B111"/>
    <mergeCell ref="C56:K56"/>
    <mergeCell ref="A57:B57"/>
    <mergeCell ref="A58:B58"/>
    <mergeCell ref="K58:K59"/>
    <mergeCell ref="A59:I59"/>
    <mergeCell ref="A60:K60"/>
    <mergeCell ref="A232:B232"/>
    <mergeCell ref="C90:K90"/>
    <mergeCell ref="A181:B181"/>
    <mergeCell ref="A229:B229"/>
    <mergeCell ref="A230:B230"/>
    <mergeCell ref="A231:B231"/>
    <mergeCell ref="A173:B173"/>
    <mergeCell ref="A113:K113"/>
    <mergeCell ref="A131:K131"/>
    <mergeCell ref="A134:B134"/>
    <mergeCell ref="C114:K114"/>
    <mergeCell ref="A115:B115"/>
    <mergeCell ref="C132:K132"/>
    <mergeCell ref="A133:B133"/>
    <mergeCell ref="K134:K146"/>
    <mergeCell ref="A123:B123"/>
    <mergeCell ref="A174:B174"/>
  </mergeCells>
  <phoneticPr fontId="6" type="noConversion"/>
  <pageMargins left="0.23622047244094491" right="0.31496062992125984" top="0.59055118110236227" bottom="0.78740157480314965" header="0.31496062992125984" footer="0.31496062992125984"/>
  <pageSetup paperSize="9" scale="41" fitToHeight="0" orientation="landscape" r:id="rId1"/>
  <headerFooter>
    <oddHeader>&amp;C&amp;"Times New Roman,Negrito"&amp;16MEMORIA DE CALULO</oddHeader>
    <oddFooter>&amp;L&amp;"Times New Roman,Normal"&amp;12vlkengenhariaprojetos@gmail.com
@vlkengenharia
(38) 99977-6300&amp;C&amp;"Times New Roman,Normal"&amp;12VLK ENGENHARIA
Av. Coronel Prates, nº 409, Sala 301, Centro, Montes Claros-MG&amp;R&amp;"Times New Roman,Normal"&amp;12Página &amp;P de &amp;N</oddFooter>
  </headerFooter>
  <rowBreaks count="4" manualBreakCount="4">
    <brk id="73" max="10" man="1"/>
    <brk id="142" max="10" man="1"/>
    <brk id="212" max="10" man="1"/>
    <brk id="279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86A7-4F69-48EF-AAF7-045458A4D952}">
  <sheetPr>
    <pageSetUpPr fitToPage="1"/>
  </sheetPr>
  <dimension ref="A1:K55"/>
  <sheetViews>
    <sheetView tabSelected="1" view="pageLayout" topLeftCell="A3" zoomScale="70" zoomScaleNormal="90" zoomScaleSheetLayoutView="80" zoomScalePageLayoutView="70" workbookViewId="0">
      <selection activeCell="B24" sqref="B24:B25"/>
    </sheetView>
  </sheetViews>
  <sheetFormatPr defaultRowHeight="15" x14ac:dyDescent="0.25"/>
  <cols>
    <col min="2" max="2" width="110.85546875" customWidth="1"/>
    <col min="3" max="10" width="21.85546875" customWidth="1"/>
    <col min="11" max="11" width="15.85546875" hidden="1" customWidth="1"/>
  </cols>
  <sheetData>
    <row r="1" spans="1:11" ht="27" customHeight="1" x14ac:dyDescent="0.25">
      <c r="A1" s="178" t="s">
        <v>137</v>
      </c>
      <c r="B1" s="179"/>
      <c r="C1" s="179"/>
      <c r="D1" s="179"/>
      <c r="E1" s="179"/>
      <c r="F1" s="179"/>
      <c r="G1" s="179"/>
      <c r="H1" s="179"/>
      <c r="I1" s="179"/>
      <c r="J1" s="180"/>
    </row>
    <row r="2" spans="1:11" ht="27" customHeight="1" x14ac:dyDescent="0.25">
      <c r="A2" s="181"/>
      <c r="B2" s="182"/>
      <c r="C2" s="182"/>
      <c r="D2" s="182"/>
      <c r="E2" s="182"/>
      <c r="F2" s="182"/>
      <c r="G2" s="182"/>
      <c r="H2" s="182"/>
      <c r="I2" s="182"/>
      <c r="J2" s="183"/>
    </row>
    <row r="3" spans="1:11" ht="32.25" customHeight="1" x14ac:dyDescent="0.25">
      <c r="A3" s="198" t="s">
        <v>635</v>
      </c>
      <c r="B3" s="199"/>
      <c r="C3" s="199"/>
      <c r="D3" s="199"/>
      <c r="E3" s="199"/>
      <c r="F3" s="200"/>
      <c r="G3" s="191" t="s">
        <v>126</v>
      </c>
      <c r="H3" s="192"/>
      <c r="I3" s="193">
        <f ca="1">TODAY()</f>
        <v>46224</v>
      </c>
      <c r="J3" s="194"/>
    </row>
    <row r="4" spans="1:11" ht="19.5" customHeight="1" x14ac:dyDescent="0.25">
      <c r="A4" s="201" t="s">
        <v>632</v>
      </c>
      <c r="B4" s="202"/>
      <c r="C4" s="202"/>
      <c r="D4" s="202"/>
      <c r="E4" s="202"/>
      <c r="F4" s="203"/>
      <c r="G4" s="195" t="s">
        <v>127</v>
      </c>
      <c r="H4" s="91"/>
      <c r="I4" s="91"/>
      <c r="J4" s="92"/>
    </row>
    <row r="5" spans="1:11" ht="31.5" customHeight="1" x14ac:dyDescent="0.25">
      <c r="A5" s="198" t="s">
        <v>138</v>
      </c>
      <c r="B5" s="199"/>
      <c r="C5" s="199"/>
      <c r="D5" s="199"/>
      <c r="E5" s="199"/>
      <c r="F5" s="200"/>
      <c r="G5" s="196" t="s">
        <v>129</v>
      </c>
      <c r="H5" s="196"/>
      <c r="I5" s="196"/>
      <c r="J5" s="197"/>
    </row>
    <row r="6" spans="1:11" ht="15.75" customHeight="1" x14ac:dyDescent="0.25">
      <c r="A6" s="204" t="s">
        <v>347</v>
      </c>
      <c r="B6" s="205"/>
      <c r="C6" s="205"/>
      <c r="D6" s="205"/>
      <c r="E6" s="205"/>
      <c r="F6" s="206"/>
      <c r="G6" s="64" t="s">
        <v>130</v>
      </c>
      <c r="H6" s="36" t="s">
        <v>131</v>
      </c>
      <c r="I6" s="65" t="s">
        <v>132</v>
      </c>
      <c r="J6" s="37" t="s">
        <v>133</v>
      </c>
    </row>
    <row r="7" spans="1:11" ht="31.5" customHeight="1" x14ac:dyDescent="0.25">
      <c r="A7" s="214" t="s">
        <v>134</v>
      </c>
      <c r="B7" s="215"/>
      <c r="C7" s="215"/>
      <c r="D7" s="215"/>
      <c r="E7" s="215"/>
      <c r="F7" s="216"/>
      <c r="G7" s="66" t="s">
        <v>135</v>
      </c>
      <c r="H7" s="16">
        <v>0.04</v>
      </c>
      <c r="I7" s="65" t="s">
        <v>11</v>
      </c>
      <c r="J7" s="16">
        <f>'PLANILHA ORÇAMENTÁRIA '!J7</f>
        <v>0.2661</v>
      </c>
    </row>
    <row r="8" spans="1:11" ht="15.75" x14ac:dyDescent="0.25">
      <c r="A8" s="90"/>
      <c r="B8" s="91"/>
      <c r="C8" s="91"/>
      <c r="D8" s="91"/>
      <c r="E8" s="91"/>
      <c r="F8" s="91"/>
      <c r="G8" s="91"/>
      <c r="H8" s="91"/>
      <c r="I8" s="91"/>
      <c r="J8" s="92"/>
    </row>
    <row r="9" spans="1:11" ht="15" customHeight="1" x14ac:dyDescent="0.25">
      <c r="A9" s="211">
        <v>1</v>
      </c>
      <c r="B9" s="209" t="s">
        <v>139</v>
      </c>
      <c r="C9" s="207" t="s">
        <v>140</v>
      </c>
      <c r="D9" s="207" t="s">
        <v>141</v>
      </c>
      <c r="E9" s="207" t="s">
        <v>196</v>
      </c>
      <c r="F9" s="207"/>
      <c r="G9" s="207" t="s">
        <v>197</v>
      </c>
      <c r="H9" s="207"/>
      <c r="I9" s="207" t="s">
        <v>197</v>
      </c>
      <c r="J9" s="208"/>
    </row>
    <row r="10" spans="1:11" ht="15" customHeight="1" x14ac:dyDescent="0.25">
      <c r="A10" s="211"/>
      <c r="B10" s="209"/>
      <c r="C10" s="207"/>
      <c r="D10" s="207"/>
      <c r="E10" s="207"/>
      <c r="F10" s="207"/>
      <c r="G10" s="207"/>
      <c r="H10" s="207"/>
      <c r="I10" s="207"/>
      <c r="J10" s="208"/>
    </row>
    <row r="11" spans="1:11" ht="15.75" x14ac:dyDescent="0.25">
      <c r="A11" s="211"/>
      <c r="B11" s="209"/>
      <c r="C11" s="207"/>
      <c r="D11" s="207"/>
      <c r="E11" s="209" t="s">
        <v>142</v>
      </c>
      <c r="F11" s="209"/>
      <c r="G11" s="209" t="s">
        <v>143</v>
      </c>
      <c r="H11" s="209"/>
      <c r="I11" s="209" t="s">
        <v>144</v>
      </c>
      <c r="J11" s="210"/>
    </row>
    <row r="12" spans="1:11" ht="15.75" x14ac:dyDescent="0.25">
      <c r="A12" s="184" t="s">
        <v>15</v>
      </c>
      <c r="B12" s="185" t="str">
        <f>'PLANILHA ORÇAMENTÁRIA '!B12:H12</f>
        <v>SERVIÇOS PRELIMINARES</v>
      </c>
      <c r="C12" s="38" t="s">
        <v>145</v>
      </c>
      <c r="D12" s="67">
        <f>(D13/$D$39)</f>
        <v>9.3080793489627132E-3</v>
      </c>
      <c r="E12" s="174">
        <v>1</v>
      </c>
      <c r="F12" s="174"/>
      <c r="G12" s="174"/>
      <c r="H12" s="174"/>
      <c r="I12" s="174"/>
      <c r="J12" s="175"/>
      <c r="K12" s="56">
        <f>E12+G12+I12</f>
        <v>1</v>
      </c>
    </row>
    <row r="13" spans="1:11" ht="15.75" x14ac:dyDescent="0.25">
      <c r="A13" s="184"/>
      <c r="B13" s="185"/>
      <c r="C13" s="39" t="s">
        <v>146</v>
      </c>
      <c r="D13" s="63">
        <f>'PLANILHA ORÇAMENTÁRIA '!J12</f>
        <v>1502.99</v>
      </c>
      <c r="E13" s="176">
        <f>ROUND(SUM(E12*D13),2)</f>
        <v>1502.99</v>
      </c>
      <c r="F13" s="176"/>
      <c r="G13" s="176"/>
      <c r="H13" s="176"/>
      <c r="I13" s="176"/>
      <c r="J13" s="177"/>
      <c r="K13" s="56"/>
    </row>
    <row r="14" spans="1:11" ht="15.75" x14ac:dyDescent="0.25">
      <c r="A14" s="184" t="s">
        <v>21</v>
      </c>
      <c r="B14" s="185" t="str">
        <f>'PLANILHA ORÇAMENTÁRIA '!B14:H14</f>
        <v>DEMOLIÇÃO E REMOÇÃO</v>
      </c>
      <c r="C14" s="38" t="s">
        <v>145</v>
      </c>
      <c r="D14" s="67">
        <f>(D15/$D$39)</f>
        <v>1.9553847101857882E-2</v>
      </c>
      <c r="E14" s="174">
        <v>1</v>
      </c>
      <c r="F14" s="174"/>
      <c r="G14" s="174"/>
      <c r="H14" s="174"/>
      <c r="I14" s="174"/>
      <c r="J14" s="175"/>
      <c r="K14" s="56">
        <f t="shared" ref="K14:K38" si="0">E14+G14+I14</f>
        <v>1</v>
      </c>
    </row>
    <row r="15" spans="1:11" ht="15.75" x14ac:dyDescent="0.25">
      <c r="A15" s="184"/>
      <c r="B15" s="185"/>
      <c r="C15" s="39" t="s">
        <v>146</v>
      </c>
      <c r="D15" s="63">
        <f>'PLANILHA ORÇAMENTÁRIA '!J14</f>
        <v>3157.39</v>
      </c>
      <c r="E15" s="176">
        <f>ROUND(SUM(E14*D15),2)</f>
        <v>3157.39</v>
      </c>
      <c r="F15" s="176"/>
      <c r="G15" s="176"/>
      <c r="H15" s="176"/>
      <c r="I15" s="176"/>
      <c r="J15" s="177"/>
      <c r="K15" s="56"/>
    </row>
    <row r="16" spans="1:11" ht="15.75" x14ac:dyDescent="0.25">
      <c r="A16" s="184" t="s">
        <v>99</v>
      </c>
      <c r="B16" s="185" t="str">
        <f>'PLANILHA ORÇAMENTÁRIA '!B21:H21</f>
        <v>ALVENARIA E REVESTIMENTO</v>
      </c>
      <c r="C16" s="38" t="s">
        <v>145</v>
      </c>
      <c r="D16" s="67">
        <f>(D17/$D$39)</f>
        <v>0.12495241421786067</v>
      </c>
      <c r="E16" s="174">
        <v>0.3</v>
      </c>
      <c r="F16" s="174"/>
      <c r="G16" s="174">
        <v>0.7</v>
      </c>
      <c r="H16" s="174"/>
      <c r="I16" s="174"/>
      <c r="J16" s="175"/>
      <c r="K16" s="56">
        <f t="shared" si="0"/>
        <v>1</v>
      </c>
    </row>
    <row r="17" spans="1:11" ht="15.75" x14ac:dyDescent="0.25">
      <c r="A17" s="184"/>
      <c r="B17" s="185"/>
      <c r="C17" s="39" t="s">
        <v>146</v>
      </c>
      <c r="D17" s="63">
        <f>'PLANILHA ORÇAMENTÁRIA '!J21</f>
        <v>20176.259999999998</v>
      </c>
      <c r="E17" s="176">
        <f>ROUND(SUM(E16*D17),2)</f>
        <v>6052.88</v>
      </c>
      <c r="F17" s="176"/>
      <c r="G17" s="176">
        <f>ROUND(SUM(G16*D17),2)</f>
        <v>14123.38</v>
      </c>
      <c r="H17" s="176"/>
      <c r="I17" s="176"/>
      <c r="J17" s="177"/>
      <c r="K17" s="56"/>
    </row>
    <row r="18" spans="1:11" ht="15.75" x14ac:dyDescent="0.25">
      <c r="A18" s="184" t="s">
        <v>49</v>
      </c>
      <c r="B18" s="185" t="str">
        <f>'PLANILHA ORÇAMENTÁRIA '!B27:H27</f>
        <v>COBERTURA</v>
      </c>
      <c r="C18" s="38" t="s">
        <v>145</v>
      </c>
      <c r="D18" s="67">
        <f>(D19/$D$39)</f>
        <v>6.4053388971617595E-2</v>
      </c>
      <c r="E18" s="174"/>
      <c r="F18" s="174"/>
      <c r="G18" s="174">
        <v>1</v>
      </c>
      <c r="H18" s="174"/>
      <c r="I18" s="174"/>
      <c r="J18" s="175"/>
      <c r="K18" s="56">
        <f t="shared" si="0"/>
        <v>1</v>
      </c>
    </row>
    <row r="19" spans="1:11" ht="15.75" x14ac:dyDescent="0.25">
      <c r="A19" s="184"/>
      <c r="B19" s="185"/>
      <c r="C19" s="39" t="s">
        <v>146</v>
      </c>
      <c r="D19" s="63">
        <f>'PLANILHA ORÇAMENTÁRIA '!J27</f>
        <v>10342.799999999999</v>
      </c>
      <c r="E19" s="176"/>
      <c r="F19" s="176"/>
      <c r="G19" s="176">
        <f>ROUND(SUM(G18*D19),2)</f>
        <v>10342.799999999999</v>
      </c>
      <c r="H19" s="176"/>
      <c r="I19" s="176"/>
      <c r="J19" s="177"/>
      <c r="K19" s="56"/>
    </row>
    <row r="20" spans="1:11" ht="15.75" x14ac:dyDescent="0.25">
      <c r="A20" s="184" t="s">
        <v>54</v>
      </c>
      <c r="B20" s="185" t="str">
        <f>'PLANILHA ORÇAMENTÁRIA '!B29:H29</f>
        <v>PISOS E REVESTIMENTOS</v>
      </c>
      <c r="C20" s="38" t="s">
        <v>145</v>
      </c>
      <c r="D20" s="67">
        <f>(D21/$D$39)</f>
        <v>0.13110798775387986</v>
      </c>
      <c r="E20" s="174">
        <v>1</v>
      </c>
      <c r="F20" s="174"/>
      <c r="G20" s="174"/>
      <c r="H20" s="174"/>
      <c r="I20" s="174"/>
      <c r="J20" s="175"/>
      <c r="K20" s="56">
        <f t="shared" si="0"/>
        <v>1</v>
      </c>
    </row>
    <row r="21" spans="1:11" ht="15.75" x14ac:dyDescent="0.25">
      <c r="A21" s="184"/>
      <c r="B21" s="185"/>
      <c r="C21" s="39" t="s">
        <v>146</v>
      </c>
      <c r="D21" s="63">
        <f>'PLANILHA ORÇAMENTÁRIA '!J29</f>
        <v>21170.21</v>
      </c>
      <c r="E21" s="176">
        <f>ROUND(SUM(E20*D21),2)</f>
        <v>21170.21</v>
      </c>
      <c r="F21" s="176"/>
      <c r="G21" s="176"/>
      <c r="H21" s="176"/>
      <c r="I21" s="176"/>
      <c r="J21" s="177"/>
      <c r="K21" s="56"/>
    </row>
    <row r="22" spans="1:11" ht="15.75" x14ac:dyDescent="0.25">
      <c r="A22" s="184" t="s">
        <v>62</v>
      </c>
      <c r="B22" s="185" t="str">
        <f>'PLANILHA ORÇAMENTÁRIA '!B36:H36</f>
        <v>PINTURA</v>
      </c>
      <c r="C22" s="38" t="s">
        <v>145</v>
      </c>
      <c r="D22" s="67">
        <f>(D23/$D$39)</f>
        <v>0.17354914844131986</v>
      </c>
      <c r="E22" s="174"/>
      <c r="F22" s="174"/>
      <c r="G22" s="174"/>
      <c r="H22" s="174"/>
      <c r="I22" s="174">
        <v>1</v>
      </c>
      <c r="J22" s="175"/>
      <c r="K22" s="56">
        <f t="shared" si="0"/>
        <v>1</v>
      </c>
    </row>
    <row r="23" spans="1:11" ht="15.75" x14ac:dyDescent="0.25">
      <c r="A23" s="184"/>
      <c r="B23" s="185"/>
      <c r="C23" s="39" t="s">
        <v>146</v>
      </c>
      <c r="D23" s="63">
        <f>'PLANILHA ORÇAMENTÁRIA '!J36</f>
        <v>28023.25</v>
      </c>
      <c r="E23" s="176"/>
      <c r="F23" s="176"/>
      <c r="G23" s="176"/>
      <c r="H23" s="176"/>
      <c r="I23" s="176">
        <f>ROUND(SUM(I22*D23),2)</f>
        <v>28023.25</v>
      </c>
      <c r="J23" s="177"/>
      <c r="K23" s="56"/>
    </row>
    <row r="24" spans="1:11" ht="15.75" x14ac:dyDescent="0.25">
      <c r="A24" s="184" t="s">
        <v>68</v>
      </c>
      <c r="B24" s="185" t="str">
        <f>'PLANILHA ORÇAMENTÁRIA '!B45:H45</f>
        <v>ESQUADRIAS</v>
      </c>
      <c r="C24" s="38" t="s">
        <v>145</v>
      </c>
      <c r="D24" s="67">
        <f>(D25/$D$39)</f>
        <v>7.2710393874338863E-2</v>
      </c>
      <c r="E24" s="174"/>
      <c r="F24" s="174"/>
      <c r="G24" s="174"/>
      <c r="H24" s="174"/>
      <c r="I24" s="174">
        <v>1</v>
      </c>
      <c r="J24" s="175"/>
      <c r="K24" s="56">
        <f t="shared" si="0"/>
        <v>1</v>
      </c>
    </row>
    <row r="25" spans="1:11" ht="15.75" x14ac:dyDescent="0.25">
      <c r="A25" s="184"/>
      <c r="B25" s="185"/>
      <c r="C25" s="39" t="s">
        <v>146</v>
      </c>
      <c r="D25" s="63">
        <f>'PLANILHA ORÇAMENTÁRIA '!J45</f>
        <v>11740.66</v>
      </c>
      <c r="E25" s="176"/>
      <c r="F25" s="176"/>
      <c r="G25" s="176"/>
      <c r="H25" s="176"/>
      <c r="I25" s="176">
        <f>ROUND(SUM(I24*D25),2)</f>
        <v>11740.66</v>
      </c>
      <c r="J25" s="177"/>
      <c r="K25" s="56"/>
    </row>
    <row r="26" spans="1:11" ht="15.75" x14ac:dyDescent="0.25">
      <c r="A26" s="184" t="s">
        <v>76</v>
      </c>
      <c r="B26" s="185" t="str">
        <f>'PLANILHA ORÇAMENTÁRIA '!B50:H50</f>
        <v>LOUÇAS, METAIS E BANCADAS</v>
      </c>
      <c r="C26" s="38" t="s">
        <v>145</v>
      </c>
      <c r="D26" s="67">
        <f>(D27/$D$39)</f>
        <v>4.4624703237195654E-2</v>
      </c>
      <c r="E26" s="174"/>
      <c r="F26" s="174"/>
      <c r="G26" s="174"/>
      <c r="H26" s="174"/>
      <c r="I26" s="174">
        <v>1</v>
      </c>
      <c r="J26" s="175"/>
      <c r="K26" s="56">
        <f t="shared" si="0"/>
        <v>1</v>
      </c>
    </row>
    <row r="27" spans="1:11" ht="15.75" x14ac:dyDescent="0.25">
      <c r="A27" s="184"/>
      <c r="B27" s="185"/>
      <c r="C27" s="39" t="s">
        <v>146</v>
      </c>
      <c r="D27" s="63">
        <f>'PLANILHA ORÇAMENTÁRIA '!J50</f>
        <v>7205.62</v>
      </c>
      <c r="E27" s="176"/>
      <c r="F27" s="176"/>
      <c r="G27" s="176"/>
      <c r="H27" s="176"/>
      <c r="I27" s="176">
        <f>ROUND(SUM(I26*D27),2)</f>
        <v>7205.62</v>
      </c>
      <c r="J27" s="177"/>
      <c r="K27" s="56"/>
    </row>
    <row r="28" spans="1:11" ht="15.75" x14ac:dyDescent="0.25">
      <c r="A28" s="184" t="s">
        <v>80</v>
      </c>
      <c r="B28" s="185" t="str">
        <f>'PLANILHA ORÇAMENTÁRIA '!B58:H58</f>
        <v>CLIMATIZAÇÃO</v>
      </c>
      <c r="C28" s="38" t="s">
        <v>145</v>
      </c>
      <c r="D28" s="67">
        <f>(D29/$D$39)</f>
        <v>3.8302536886528932E-2</v>
      </c>
      <c r="E28" s="174"/>
      <c r="F28" s="174"/>
      <c r="G28" s="174">
        <v>1</v>
      </c>
      <c r="H28" s="174"/>
      <c r="I28" s="174"/>
      <c r="J28" s="175"/>
      <c r="K28" s="56">
        <f t="shared" si="0"/>
        <v>1</v>
      </c>
    </row>
    <row r="29" spans="1:11" ht="15.75" x14ac:dyDescent="0.25">
      <c r="A29" s="184"/>
      <c r="B29" s="185"/>
      <c r="C29" s="39" t="s">
        <v>146</v>
      </c>
      <c r="D29" s="63">
        <f>'PLANILHA ORÇAMENTÁRIA '!J58</f>
        <v>6184.77</v>
      </c>
      <c r="E29" s="176"/>
      <c r="F29" s="176"/>
      <c r="G29" s="176">
        <f>ROUND(SUM(G28*D29),2)</f>
        <v>6184.77</v>
      </c>
      <c r="H29" s="176"/>
      <c r="I29" s="176"/>
      <c r="J29" s="177"/>
      <c r="K29" s="56"/>
    </row>
    <row r="30" spans="1:11" ht="15.75" x14ac:dyDescent="0.25">
      <c r="A30" s="184" t="s">
        <v>179</v>
      </c>
      <c r="B30" s="212" t="str">
        <f>'PLANILHA ORÇAMENTÁRIA '!B72:H72</f>
        <v>CABEAMENTO ESTRUTURADO</v>
      </c>
      <c r="C30" s="38" t="s">
        <v>145</v>
      </c>
      <c r="D30" s="67">
        <f>(D31/$D$39)</f>
        <v>6.660151587075247E-2</v>
      </c>
      <c r="E30" s="174"/>
      <c r="F30" s="174"/>
      <c r="G30" s="174">
        <v>1</v>
      </c>
      <c r="H30" s="174"/>
      <c r="I30" s="174"/>
      <c r="J30" s="175"/>
      <c r="K30" s="56">
        <f t="shared" si="0"/>
        <v>1</v>
      </c>
    </row>
    <row r="31" spans="1:11" ht="15.75" x14ac:dyDescent="0.25">
      <c r="A31" s="184"/>
      <c r="B31" s="213"/>
      <c r="C31" s="39" t="s">
        <v>146</v>
      </c>
      <c r="D31" s="63">
        <f>'PLANILHA ORÇAMENTÁRIA '!J72</f>
        <v>10754.25</v>
      </c>
      <c r="E31" s="176"/>
      <c r="F31" s="176"/>
      <c r="G31" s="176">
        <f>ROUND(SUM(G30*D31),2)</f>
        <v>10754.25</v>
      </c>
      <c r="H31" s="176"/>
      <c r="I31" s="176"/>
      <c r="J31" s="177"/>
      <c r="K31" s="56"/>
    </row>
    <row r="32" spans="1:11" ht="15.75" x14ac:dyDescent="0.25">
      <c r="A32" s="184" t="s">
        <v>189</v>
      </c>
      <c r="B32" s="212" t="str">
        <f>'PLANILHA ORÇAMENTÁRIA '!B86:H86</f>
        <v>INSTALAÇÕES ELÉTRICAS</v>
      </c>
      <c r="C32" s="38" t="s">
        <v>145</v>
      </c>
      <c r="D32" s="67">
        <f>(D33/$D$39)</f>
        <v>0.16943102360756432</v>
      </c>
      <c r="E32" s="174">
        <v>0.25</v>
      </c>
      <c r="F32" s="174"/>
      <c r="G32" s="174">
        <v>0.5</v>
      </c>
      <c r="H32" s="174"/>
      <c r="I32" s="174">
        <v>0.25</v>
      </c>
      <c r="J32" s="175"/>
      <c r="K32" s="56">
        <f t="shared" si="0"/>
        <v>1</v>
      </c>
    </row>
    <row r="33" spans="1:11" ht="15.75" x14ac:dyDescent="0.25">
      <c r="A33" s="184"/>
      <c r="B33" s="213"/>
      <c r="C33" s="39" t="s">
        <v>146</v>
      </c>
      <c r="D33" s="63">
        <f>'PLANILHA ORÇAMENTÁRIA '!J86</f>
        <v>27358.29</v>
      </c>
      <c r="E33" s="176">
        <f>ROUND(SUM(E32*D33),2)</f>
        <v>6839.57</v>
      </c>
      <c r="F33" s="176"/>
      <c r="G33" s="176">
        <f>ROUND(SUM(G32*D33),2)</f>
        <v>13679.15</v>
      </c>
      <c r="H33" s="176"/>
      <c r="I33" s="176">
        <f>ROUND(SUM(I32*D33),2)</f>
        <v>6839.57</v>
      </c>
      <c r="J33" s="177"/>
      <c r="K33" s="56"/>
    </row>
    <row r="34" spans="1:11" ht="15.75" x14ac:dyDescent="0.25">
      <c r="A34" s="184" t="s">
        <v>193</v>
      </c>
      <c r="B34" s="212" t="str">
        <f>'PLANILHA ORÇAMENTÁRIA '!B112:H112</f>
        <v>INSTALAÇÕES HIDROSSANITÁRIAS</v>
      </c>
      <c r="C34" s="38" t="s">
        <v>145</v>
      </c>
      <c r="D34" s="67">
        <f>(D35/$D$39)</f>
        <v>6.542409483280491E-2</v>
      </c>
      <c r="E34" s="174">
        <v>1</v>
      </c>
      <c r="F34" s="174"/>
      <c r="G34" s="174"/>
      <c r="H34" s="174"/>
      <c r="I34" s="174"/>
      <c r="J34" s="175"/>
      <c r="K34" s="56">
        <f t="shared" si="0"/>
        <v>1</v>
      </c>
    </row>
    <row r="35" spans="1:11" ht="15.75" x14ac:dyDescent="0.25">
      <c r="A35" s="184"/>
      <c r="B35" s="213"/>
      <c r="C35" s="39" t="s">
        <v>146</v>
      </c>
      <c r="D35" s="63">
        <f>'PLANILHA ORÇAMENTÁRIA '!J112</f>
        <v>10564.13</v>
      </c>
      <c r="E35" s="176">
        <f>ROUND(SUM(E34*D35),2)</f>
        <v>10564.13</v>
      </c>
      <c r="F35" s="176"/>
      <c r="G35" s="176"/>
      <c r="H35" s="176"/>
      <c r="I35" s="176"/>
      <c r="J35" s="177"/>
      <c r="K35" s="56"/>
    </row>
    <row r="36" spans="1:11" ht="15.75" x14ac:dyDescent="0.25">
      <c r="A36" s="184" t="s">
        <v>194</v>
      </c>
      <c r="B36" s="212" t="str">
        <f>'PLANILHA ORÇAMENTÁRIA '!B157:H157</f>
        <v>SERVIÇOS PRELIMINARES</v>
      </c>
      <c r="C36" s="38" t="s">
        <v>145</v>
      </c>
      <c r="D36" s="67">
        <f>(D37/$D$39)</f>
        <v>2.0380865855316309E-2</v>
      </c>
      <c r="E36" s="174"/>
      <c r="F36" s="174"/>
      <c r="G36" s="174"/>
      <c r="H36" s="174"/>
      <c r="I36" s="174">
        <v>1</v>
      </c>
      <c r="J36" s="175"/>
      <c r="K36" s="56">
        <f t="shared" si="0"/>
        <v>1</v>
      </c>
    </row>
    <row r="37" spans="1:11" ht="15.75" x14ac:dyDescent="0.25">
      <c r="A37" s="184"/>
      <c r="B37" s="213"/>
      <c r="C37" s="39" t="s">
        <v>146</v>
      </c>
      <c r="D37" s="63">
        <f>'PLANILHA ORÇAMENTÁRIA '!J157</f>
        <v>3290.93</v>
      </c>
      <c r="E37" s="176"/>
      <c r="F37" s="176"/>
      <c r="G37" s="176"/>
      <c r="H37" s="176"/>
      <c r="I37" s="176">
        <f>ROUND(SUM(I36*D37),2)</f>
        <v>3290.93</v>
      </c>
      <c r="J37" s="177"/>
      <c r="K37" s="56"/>
    </row>
    <row r="38" spans="1:11" ht="15.75" x14ac:dyDescent="0.25">
      <c r="A38" s="184" t="s">
        <v>12</v>
      </c>
      <c r="B38" s="186"/>
      <c r="C38" s="38" t="s">
        <v>145</v>
      </c>
      <c r="D38" s="67">
        <f>ROUND(SUM(D12+D14+D16+D18+D20+D22+D24+D26+D28+D30+D32+D34+D36),2)</f>
        <v>1</v>
      </c>
      <c r="E38" s="187">
        <f>SUM(E39/$D$39)</f>
        <v>0.30523748610823392</v>
      </c>
      <c r="F38" s="187"/>
      <c r="G38" s="187">
        <f>SUM(G39/$D$39)</f>
        <v>0.34113966206430796</v>
      </c>
      <c r="H38" s="187"/>
      <c r="I38" s="187">
        <f>SUM(I39/$D$39)</f>
        <v>0.35362285182745817</v>
      </c>
      <c r="J38" s="188"/>
      <c r="K38" s="56">
        <f t="shared" si="0"/>
        <v>1</v>
      </c>
    </row>
    <row r="39" spans="1:11" ht="31.5" customHeight="1" x14ac:dyDescent="0.25">
      <c r="A39" s="184"/>
      <c r="B39" s="186"/>
      <c r="C39" s="40" t="s">
        <v>146</v>
      </c>
      <c r="D39" s="68">
        <f>ROUND(D13+D15+D17+D19+D21+D23+D25+D27+D29+D31+D33+D35+D37,2)</f>
        <v>161471.54999999999</v>
      </c>
      <c r="E39" s="189">
        <f>ROUND(SUM(E13+E15+E17+E19+E21+E23+E25+E27+E29+E31+E33+E35+E37),2)</f>
        <v>49287.17</v>
      </c>
      <c r="F39" s="189"/>
      <c r="G39" s="189">
        <f>ROUND(SUM(G13+G15+G17+G19+G21+G23+G25+G27+G29+G31+G33+G35+G37),2)</f>
        <v>55084.35</v>
      </c>
      <c r="H39" s="189"/>
      <c r="I39" s="189">
        <f>ROUND(SUM(I13+I15+I17+I19+I21+I23+I25+I27+I29+I31+I33+I35+I37),2)</f>
        <v>57100.03</v>
      </c>
      <c r="J39" s="190"/>
    </row>
    <row r="40" spans="1:11" ht="15.75" x14ac:dyDescent="0.25">
      <c r="A40" s="41"/>
      <c r="B40" s="43"/>
      <c r="C40" s="43"/>
      <c r="D40" s="43"/>
      <c r="E40" s="43"/>
      <c r="F40" s="43"/>
      <c r="G40" s="43"/>
      <c r="H40" s="43"/>
      <c r="I40" s="43"/>
      <c r="J40" s="52"/>
    </row>
    <row r="41" spans="1:11" ht="15.75" x14ac:dyDescent="0.25">
      <c r="A41" s="42"/>
      <c r="B41" s="44"/>
      <c r="C41" s="44"/>
      <c r="D41" s="44"/>
      <c r="E41" s="45"/>
      <c r="F41" s="44"/>
      <c r="G41" s="45"/>
      <c r="H41" s="45"/>
      <c r="I41" s="45"/>
      <c r="J41" s="53"/>
    </row>
    <row r="42" spans="1:11" ht="15.75" x14ac:dyDescent="0.25">
      <c r="A42" s="42"/>
      <c r="B42" s="44"/>
      <c r="C42" s="44"/>
      <c r="D42" s="44"/>
      <c r="E42" s="44"/>
      <c r="F42" s="44"/>
      <c r="G42" s="44"/>
      <c r="H42" s="44"/>
      <c r="I42" s="44"/>
      <c r="J42" s="53"/>
    </row>
    <row r="43" spans="1:11" ht="15.75" x14ac:dyDescent="0.25">
      <c r="A43" s="42"/>
      <c r="B43" s="44"/>
      <c r="C43" s="44"/>
      <c r="D43" s="44"/>
      <c r="E43" s="44"/>
      <c r="F43" s="44"/>
      <c r="G43" s="44"/>
      <c r="H43" s="44"/>
      <c r="I43" s="45"/>
      <c r="J43" s="53"/>
    </row>
    <row r="44" spans="1:11" ht="15.75" x14ac:dyDescent="0.25">
      <c r="A44" s="42"/>
      <c r="B44" s="44"/>
      <c r="C44" s="44"/>
      <c r="D44" s="44"/>
      <c r="E44" s="44"/>
      <c r="F44" s="44"/>
      <c r="G44" s="44"/>
      <c r="H44" s="45"/>
      <c r="I44" s="44"/>
      <c r="J44" s="53"/>
    </row>
    <row r="45" spans="1:11" ht="15.75" x14ac:dyDescent="0.25">
      <c r="A45" s="42"/>
      <c r="B45" s="44"/>
      <c r="C45" s="44"/>
      <c r="D45" s="44"/>
      <c r="E45" s="44"/>
      <c r="F45" s="44"/>
      <c r="G45" s="44"/>
      <c r="H45" s="44"/>
      <c r="I45" s="44"/>
      <c r="J45" s="53"/>
    </row>
    <row r="46" spans="1:11" ht="15.75" x14ac:dyDescent="0.25">
      <c r="A46" s="42"/>
      <c r="B46" s="44"/>
      <c r="C46" s="44"/>
      <c r="D46" s="44"/>
      <c r="E46" s="44"/>
      <c r="F46" s="44"/>
      <c r="G46" s="44"/>
      <c r="H46" s="44"/>
      <c r="I46" s="44"/>
      <c r="J46" s="53"/>
    </row>
    <row r="47" spans="1:11" ht="15.75" x14ac:dyDescent="0.25">
      <c r="A47" s="42"/>
      <c r="B47" s="44"/>
      <c r="C47" s="44"/>
      <c r="D47" s="44"/>
      <c r="E47" s="44"/>
      <c r="F47" s="44"/>
      <c r="G47" s="44"/>
      <c r="H47" s="44"/>
      <c r="I47" s="44"/>
      <c r="J47" s="53"/>
    </row>
    <row r="48" spans="1:11" ht="15.75" x14ac:dyDescent="0.25">
      <c r="A48" s="42"/>
      <c r="B48" s="61" t="s">
        <v>23</v>
      </c>
      <c r="C48" s="44"/>
      <c r="D48" s="44"/>
      <c r="E48" s="44"/>
      <c r="F48" s="217" t="s">
        <v>261</v>
      </c>
      <c r="G48" s="217"/>
      <c r="H48" s="217"/>
      <c r="I48" s="217"/>
      <c r="J48" s="53"/>
    </row>
    <row r="49" spans="1:10" ht="15.75" x14ac:dyDescent="0.25">
      <c r="A49" s="42"/>
      <c r="B49" s="62" t="s">
        <v>24</v>
      </c>
      <c r="C49" s="44"/>
      <c r="D49" s="44"/>
      <c r="E49" s="44"/>
      <c r="F49" s="218" t="s">
        <v>262</v>
      </c>
      <c r="G49" s="218"/>
      <c r="H49" s="218"/>
      <c r="I49" s="218"/>
      <c r="J49" s="53"/>
    </row>
    <row r="50" spans="1:10" ht="15.75" x14ac:dyDescent="0.25">
      <c r="A50" s="42"/>
      <c r="B50" s="44"/>
      <c r="C50" s="44"/>
      <c r="D50" s="44"/>
      <c r="E50" s="44"/>
      <c r="F50" s="44"/>
      <c r="G50" s="44"/>
      <c r="H50" s="44"/>
      <c r="I50" s="44"/>
      <c r="J50" s="53"/>
    </row>
    <row r="51" spans="1:10" ht="15.75" x14ac:dyDescent="0.25">
      <c r="A51" s="46"/>
      <c r="B51" s="20"/>
      <c r="C51" s="20"/>
      <c r="D51" s="20"/>
      <c r="E51" s="44"/>
      <c r="F51" s="44"/>
      <c r="G51" s="44"/>
      <c r="H51" s="44"/>
      <c r="I51" s="44"/>
      <c r="J51" s="53"/>
    </row>
    <row r="52" spans="1:10" ht="15.75" x14ac:dyDescent="0.25">
      <c r="A52" s="46"/>
      <c r="B52" s="20"/>
      <c r="C52" s="20"/>
      <c r="D52" s="20"/>
      <c r="E52" s="44"/>
      <c r="F52" s="44"/>
      <c r="G52" s="44"/>
      <c r="H52" s="44"/>
      <c r="I52" s="44"/>
      <c r="J52" s="53"/>
    </row>
    <row r="53" spans="1:10" ht="15.75" x14ac:dyDescent="0.25">
      <c r="A53" s="46"/>
      <c r="B53" s="20"/>
      <c r="C53" s="20"/>
      <c r="D53" s="20"/>
      <c r="E53" s="44"/>
      <c r="F53" s="44"/>
      <c r="G53" s="44"/>
      <c r="H53" s="44"/>
      <c r="I53" s="44"/>
      <c r="J53" s="53"/>
    </row>
    <row r="54" spans="1:10" ht="15.75" x14ac:dyDescent="0.25">
      <c r="A54" s="46"/>
      <c r="B54" s="20"/>
      <c r="C54" s="20"/>
      <c r="D54" s="20"/>
      <c r="E54" s="44"/>
      <c r="F54" s="44"/>
      <c r="G54" s="44"/>
      <c r="H54" s="44"/>
      <c r="I54" s="44"/>
      <c r="J54" s="53"/>
    </row>
    <row r="55" spans="1:10" ht="16.5" thickBot="1" x14ac:dyDescent="0.3">
      <c r="A55" s="47"/>
      <c r="B55" s="21"/>
      <c r="C55" s="21"/>
      <c r="D55" s="21"/>
      <c r="E55" s="54"/>
      <c r="F55" s="54"/>
      <c r="G55" s="54"/>
      <c r="H55" s="54"/>
      <c r="I55" s="54"/>
      <c r="J55" s="55"/>
    </row>
  </sheetData>
  <mergeCells count="135">
    <mergeCell ref="A7:F7"/>
    <mergeCell ref="F48:I48"/>
    <mergeCell ref="F49:I49"/>
    <mergeCell ref="I30:J30"/>
    <mergeCell ref="I31:J31"/>
    <mergeCell ref="I32:J32"/>
    <mergeCell ref="I33:J33"/>
    <mergeCell ref="I34:J34"/>
    <mergeCell ref="I35:J35"/>
    <mergeCell ref="I36:J36"/>
    <mergeCell ref="I37:J37"/>
    <mergeCell ref="G30:H30"/>
    <mergeCell ref="G31:H31"/>
    <mergeCell ref="G32:H32"/>
    <mergeCell ref="G33:H33"/>
    <mergeCell ref="G34:H34"/>
    <mergeCell ref="G35:H35"/>
    <mergeCell ref="G36:H36"/>
    <mergeCell ref="G37:H37"/>
    <mergeCell ref="E30:F30"/>
    <mergeCell ref="E31:F31"/>
    <mergeCell ref="E32:F32"/>
    <mergeCell ref="E33:F33"/>
    <mergeCell ref="E34:F34"/>
    <mergeCell ref="E35:F35"/>
    <mergeCell ref="E36:F36"/>
    <mergeCell ref="E37:F37"/>
    <mergeCell ref="A30:A31"/>
    <mergeCell ref="B30:B31"/>
    <mergeCell ref="A32:A33"/>
    <mergeCell ref="B32:B33"/>
    <mergeCell ref="A34:A35"/>
    <mergeCell ref="B34:B35"/>
    <mergeCell ref="A36:A37"/>
    <mergeCell ref="B36:B37"/>
    <mergeCell ref="I9:J10"/>
    <mergeCell ref="E11:F11"/>
    <mergeCell ref="G11:H11"/>
    <mergeCell ref="I11:J11"/>
    <mergeCell ref="A8:J8"/>
    <mergeCell ref="A9:A11"/>
    <mergeCell ref="B9:B11"/>
    <mergeCell ref="C9:C11"/>
    <mergeCell ref="D9:D11"/>
    <mergeCell ref="E9:F10"/>
    <mergeCell ref="G9:H10"/>
    <mergeCell ref="G3:H3"/>
    <mergeCell ref="I3:J3"/>
    <mergeCell ref="G4:H4"/>
    <mergeCell ref="I4:J4"/>
    <mergeCell ref="G5:J5"/>
    <mergeCell ref="A3:F3"/>
    <mergeCell ref="A4:F4"/>
    <mergeCell ref="A5:F5"/>
    <mergeCell ref="A6:F6"/>
    <mergeCell ref="A12:A13"/>
    <mergeCell ref="B12:B13"/>
    <mergeCell ref="E12:F12"/>
    <mergeCell ref="G12:H12"/>
    <mergeCell ref="I12:J12"/>
    <mergeCell ref="E13:F13"/>
    <mergeCell ref="G13:H13"/>
    <mergeCell ref="I13:J13"/>
    <mergeCell ref="A14:A15"/>
    <mergeCell ref="B14:B15"/>
    <mergeCell ref="E14:F14"/>
    <mergeCell ref="G14:H14"/>
    <mergeCell ref="I14:J14"/>
    <mergeCell ref="E15:F15"/>
    <mergeCell ref="G15:H15"/>
    <mergeCell ref="I15:J15"/>
    <mergeCell ref="A16:A17"/>
    <mergeCell ref="B16:B17"/>
    <mergeCell ref="E16:F16"/>
    <mergeCell ref="G16:H16"/>
    <mergeCell ref="I16:J16"/>
    <mergeCell ref="E17:F17"/>
    <mergeCell ref="G17:H17"/>
    <mergeCell ref="I17:J17"/>
    <mergeCell ref="A38:B39"/>
    <mergeCell ref="E38:F38"/>
    <mergeCell ref="G38:H38"/>
    <mergeCell ref="I38:J38"/>
    <mergeCell ref="E39:F39"/>
    <mergeCell ref="G39:H39"/>
    <mergeCell ref="I39:J39"/>
    <mergeCell ref="A18:A19"/>
    <mergeCell ref="B18:B19"/>
    <mergeCell ref="E18:F18"/>
    <mergeCell ref="G18:H18"/>
    <mergeCell ref="I18:J18"/>
    <mergeCell ref="E19:F19"/>
    <mergeCell ref="G19:H19"/>
    <mergeCell ref="I19:J19"/>
    <mergeCell ref="E21:F21"/>
    <mergeCell ref="I24:J24"/>
    <mergeCell ref="G21:H21"/>
    <mergeCell ref="I21:J21"/>
    <mergeCell ref="A20:A21"/>
    <mergeCell ref="B20:B21"/>
    <mergeCell ref="E20:F20"/>
    <mergeCell ref="G20:H20"/>
    <mergeCell ref="I20:J20"/>
    <mergeCell ref="E23:F23"/>
    <mergeCell ref="G23:H23"/>
    <mergeCell ref="I23:J23"/>
    <mergeCell ref="A22:A23"/>
    <mergeCell ref="B22:B23"/>
    <mergeCell ref="E22:F22"/>
    <mergeCell ref="G22:H22"/>
    <mergeCell ref="I22:J22"/>
    <mergeCell ref="G28:H28"/>
    <mergeCell ref="I28:J28"/>
    <mergeCell ref="E27:F27"/>
    <mergeCell ref="G27:H27"/>
    <mergeCell ref="I27:J27"/>
    <mergeCell ref="A1:J2"/>
    <mergeCell ref="E29:F29"/>
    <mergeCell ref="G29:H29"/>
    <mergeCell ref="I29:J29"/>
    <mergeCell ref="A28:A29"/>
    <mergeCell ref="B28:B29"/>
    <mergeCell ref="E28:F28"/>
    <mergeCell ref="A26:A27"/>
    <mergeCell ref="B26:B27"/>
    <mergeCell ref="E26:F26"/>
    <mergeCell ref="G26:H26"/>
    <mergeCell ref="I26:J26"/>
    <mergeCell ref="E25:F25"/>
    <mergeCell ref="G25:H25"/>
    <mergeCell ref="I25:J25"/>
    <mergeCell ref="A24:A25"/>
    <mergeCell ref="B24:B25"/>
    <mergeCell ref="E24:F24"/>
    <mergeCell ref="G24:H24"/>
  </mergeCells>
  <phoneticPr fontId="6" type="noConversion"/>
  <pageMargins left="0.25" right="0.25" top="0.75" bottom="0.75" header="0.3" footer="0.3"/>
  <pageSetup paperSize="9" scale="48" fitToHeight="0" orientation="landscape" r:id="rId1"/>
  <headerFooter>
    <oddFooter>&amp;L&amp;"Times New Roman,Normal"&amp;10vlkengenhariaprojetos@gmail.com
@vlkengenharia
(38) 99977-6300&amp;C&amp;"Times New Roman,Normal"&amp;10VLK ENGENHARIA
Av. Coronel Prates, nº 409, Sala 301, Centro, Montes Claros-MG&amp;R&amp;"Times New Roman,Normal"&amp;10Página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PLANILHA ORÇAMENTÁRIA </vt:lpstr>
      <vt:lpstr>MEMÓRIA DE CÁLCULO </vt:lpstr>
      <vt:lpstr>CRONOGRAMA</vt:lpstr>
      <vt:lpstr>'MEMÓRIA DE CÁLCULO '!Area_de_impressao</vt:lpstr>
      <vt:lpstr>'PLANILHA ORÇAMENTÁRIA '!Area_de_impressao</vt:lpstr>
      <vt:lpstr>'MEMÓRIA DE CÁLCULO '!Titulos_de_impressao</vt:lpstr>
      <vt:lpstr>'PLANILHA ORÇAMENTÁRIA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kmari</dc:creator>
  <cp:lastModifiedBy>Káren Mariana Soares Vieira</cp:lastModifiedBy>
  <cp:lastPrinted>2026-07-21T11:09:54Z</cp:lastPrinted>
  <dcterms:created xsi:type="dcterms:W3CDTF">2025-01-21T17:38:26Z</dcterms:created>
  <dcterms:modified xsi:type="dcterms:W3CDTF">2026-07-21T11:10:02Z</dcterms:modified>
</cp:coreProperties>
</file>