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xr:revisionPtr revIDLastSave="0" documentId="13_ncr:1_{435B7DEC-9E15-4954-8B28-7046F868C522}" xr6:coauthVersionLast="47" xr6:coauthVersionMax="47" xr10:uidLastSave="{00000000-0000-0000-0000-000000000000}"/>
  <bookViews>
    <workbookView xWindow="-105" yWindow="0" windowWidth="14610" windowHeight="15585" xr2:uid="{00000000-000D-0000-FFFF-FFFF00000000}"/>
  </bookViews>
  <sheets>
    <sheet name="PLANILHA ORÇAMENTÁRIA" sheetId="5" r:id="rId1"/>
    <sheet name="MEMÓRIA DE CALCULO" sheetId="4" r:id="rId2"/>
    <sheet name="CRONOGRAMA" sheetId="6" r:id="rId3"/>
  </sheets>
  <externalReferences>
    <externalReference r:id="rId4"/>
    <externalReference r:id="rId5"/>
  </externalReferences>
  <definedNames>
    <definedName name="_xlnm.Print_Area" localSheetId="2">CRONOGRAMA!$A$1:$H$30</definedName>
    <definedName name="_xlnm.Print_Area" localSheetId="1">'MEMÓRIA DE CALCULO'!$A$1:$J$445</definedName>
    <definedName name="_xlnm.Print_Area" localSheetId="0">'PLANILHA ORÇAMENTÁRIA'!$A$1:$J$151</definedName>
    <definedName name="JR_PAGE_ANCHOR_0_1">#REF!</definedName>
    <definedName name="ORÇAMENTO.BancoRef" hidden="1">'MEMÓRIA DE CALCULO'!#REF!</definedName>
    <definedName name="REFERENCIA.Descricao" hidden="1">IF(ISNUMBER('MEMÓRIA DE CALCULO'!$AF1),OFFSET(INDIRECT(ORÇAMENTO.BancoRef),'MEMÓRIA DE CALCULO'!$AF1-1,3,1),'MEMÓRIA DE CALCULO'!$AF1)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5" i="6" l="1"/>
  <c r="E13" i="6"/>
  <c r="H21" i="6"/>
  <c r="H13" i="6"/>
  <c r="G21" i="6"/>
  <c r="G13" i="6"/>
  <c r="F21" i="6"/>
  <c r="F13" i="6"/>
  <c r="E21" i="6"/>
  <c r="I347" i="4"/>
  <c r="I348" i="4"/>
  <c r="I341" i="4"/>
  <c r="I334" i="4"/>
  <c r="I328" i="4"/>
  <c r="I301" i="4"/>
  <c r="I302" i="4"/>
  <c r="I303" i="4"/>
  <c r="I268" i="4"/>
  <c r="I269" i="4"/>
  <c r="I260" i="4"/>
  <c r="I261" i="4"/>
  <c r="I228" i="4"/>
  <c r="I218" i="4"/>
  <c r="I219" i="4"/>
  <c r="I220" i="4"/>
  <c r="I221" i="4"/>
  <c r="I209" i="4"/>
  <c r="I210" i="4"/>
  <c r="I211" i="4"/>
  <c r="D202" i="4"/>
  <c r="I202" i="4" s="1"/>
  <c r="D201" i="4"/>
  <c r="I201" i="4" s="1"/>
  <c r="D200" i="4"/>
  <c r="I200" i="4" s="1"/>
  <c r="I199" i="4"/>
  <c r="D199" i="4"/>
  <c r="D198" i="4"/>
  <c r="I198" i="4" s="1"/>
  <c r="D197" i="4"/>
  <c r="I197" i="4" s="1"/>
  <c r="D196" i="4"/>
  <c r="I196" i="4" s="1"/>
  <c r="D195" i="4"/>
  <c r="I195" i="4" s="1"/>
  <c r="I183" i="4"/>
  <c r="I184" i="4"/>
  <c r="I185" i="4"/>
  <c r="I186" i="4"/>
  <c r="I187" i="4"/>
  <c r="I188" i="4"/>
  <c r="I189" i="4"/>
  <c r="I182" i="4"/>
  <c r="I156" i="4"/>
  <c r="I157" i="4"/>
  <c r="I158" i="4"/>
  <c r="I159" i="4"/>
  <c r="I160" i="4"/>
  <c r="I161" i="4"/>
  <c r="I162" i="4"/>
  <c r="I163" i="4"/>
  <c r="I155" i="4"/>
  <c r="I140" i="4"/>
  <c r="I141" i="4"/>
  <c r="I142" i="4"/>
  <c r="I131" i="4"/>
  <c r="I132" i="4"/>
  <c r="I133" i="4"/>
  <c r="I118" i="4"/>
  <c r="I119" i="4"/>
  <c r="I120" i="4"/>
  <c r="I121" i="4"/>
  <c r="I122" i="4"/>
  <c r="I123" i="4"/>
  <c r="I124" i="4"/>
  <c r="I67" i="4"/>
  <c r="I68" i="4"/>
  <c r="I60" i="4"/>
  <c r="I61" i="4"/>
  <c r="G65" i="5"/>
  <c r="H65" i="5" s="1"/>
  <c r="G64" i="5"/>
  <c r="H64" i="5" s="1"/>
  <c r="G109" i="5"/>
  <c r="D358" i="4"/>
  <c r="C356" i="4"/>
  <c r="H66" i="5"/>
  <c r="G53" i="5"/>
  <c r="H53" i="5" s="1"/>
  <c r="B28" i="6"/>
  <c r="B27" i="6"/>
  <c r="A9" i="6"/>
  <c r="D6" i="6"/>
  <c r="G3" i="6"/>
  <c r="G76" i="5"/>
  <c r="G56" i="5"/>
  <c r="G55" i="5"/>
  <c r="G37" i="5"/>
  <c r="H37" i="5" s="1"/>
  <c r="G17" i="5"/>
  <c r="H17" i="5" s="1"/>
  <c r="G31" i="5"/>
  <c r="H31" i="5" s="1"/>
  <c r="G34" i="5"/>
  <c r="H34" i="5" s="1"/>
  <c r="G27" i="5"/>
  <c r="H27" i="5" s="1"/>
  <c r="G20" i="5"/>
  <c r="H20" i="5" s="1"/>
  <c r="G18" i="5"/>
  <c r="H18" i="5" s="1"/>
  <c r="J5" i="4"/>
  <c r="C432" i="4"/>
  <c r="C426" i="4"/>
  <c r="C421" i="4"/>
  <c r="C407" i="4"/>
  <c r="C400" i="4"/>
  <c r="C393" i="4"/>
  <c r="C385" i="4"/>
  <c r="C378" i="4"/>
  <c r="C371" i="4"/>
  <c r="C363" i="4"/>
  <c r="C351" i="4"/>
  <c r="C344" i="4"/>
  <c r="C338" i="4"/>
  <c r="C331" i="4"/>
  <c r="C325" i="4"/>
  <c r="C318" i="4"/>
  <c r="C312" i="4"/>
  <c r="C306" i="4"/>
  <c r="C297" i="4"/>
  <c r="C290" i="4"/>
  <c r="C284" i="4"/>
  <c r="C278" i="4"/>
  <c r="C272" i="4"/>
  <c r="C264" i="4"/>
  <c r="C256" i="4"/>
  <c r="C250" i="4"/>
  <c r="C244" i="4"/>
  <c r="C238" i="4"/>
  <c r="C232" i="4"/>
  <c r="C224" i="4"/>
  <c r="C214" i="4"/>
  <c r="C205" i="4"/>
  <c r="C192" i="4"/>
  <c r="C179" i="4"/>
  <c r="C166" i="4"/>
  <c r="C152" i="4"/>
  <c r="C145" i="4"/>
  <c r="C136" i="4"/>
  <c r="C127" i="4"/>
  <c r="C114" i="4"/>
  <c r="C108" i="4"/>
  <c r="C103" i="4"/>
  <c r="C98" i="4"/>
  <c r="C93" i="4"/>
  <c r="C88" i="4"/>
  <c r="C76" i="4"/>
  <c r="C71" i="4"/>
  <c r="C64" i="4"/>
  <c r="C57" i="4"/>
  <c r="C50" i="4"/>
  <c r="C39" i="4"/>
  <c r="C28" i="4"/>
  <c r="C17" i="4"/>
  <c r="D328" i="4"/>
  <c r="D327" i="4"/>
  <c r="I327" i="4" s="1"/>
  <c r="I315" i="4"/>
  <c r="H81" i="5"/>
  <c r="H82" i="5"/>
  <c r="H16" i="5"/>
  <c r="H19" i="5"/>
  <c r="H21" i="5"/>
  <c r="H22" i="5"/>
  <c r="H26" i="5"/>
  <c r="H28" i="5"/>
  <c r="H29" i="5"/>
  <c r="H32" i="5"/>
  <c r="H33" i="5"/>
  <c r="H38" i="5"/>
  <c r="H39" i="5"/>
  <c r="H40" i="5"/>
  <c r="H41" i="5"/>
  <c r="H42" i="5"/>
  <c r="H45" i="5"/>
  <c r="H46" i="5"/>
  <c r="H47" i="5"/>
  <c r="H48" i="5"/>
  <c r="H49" i="5"/>
  <c r="H50" i="5"/>
  <c r="H51" i="5"/>
  <c r="H52" i="5"/>
  <c r="H56" i="5"/>
  <c r="H57" i="5"/>
  <c r="J57" i="5" s="1"/>
  <c r="I57" i="5"/>
  <c r="H58" i="5"/>
  <c r="H61" i="5"/>
  <c r="H70" i="5"/>
  <c r="H71" i="5"/>
  <c r="H72" i="5"/>
  <c r="H86" i="5"/>
  <c r="J86" i="5" s="1"/>
  <c r="I86" i="5"/>
  <c r="H87" i="5"/>
  <c r="J87" i="5" s="1"/>
  <c r="I87" i="5"/>
  <c r="H88" i="5"/>
  <c r="J88" i="5" s="1"/>
  <c r="I88" i="5"/>
  <c r="H89" i="5"/>
  <c r="I89" i="5"/>
  <c r="J89" i="5"/>
  <c r="H90" i="5"/>
  <c r="J90" i="5" s="1"/>
  <c r="I90" i="5"/>
  <c r="H91" i="5"/>
  <c r="J91" i="5" s="1"/>
  <c r="I91" i="5"/>
  <c r="H92" i="5"/>
  <c r="J92" i="5" s="1"/>
  <c r="I92" i="5"/>
  <c r="H93" i="5"/>
  <c r="J93" i="5" s="1"/>
  <c r="I93" i="5"/>
  <c r="H94" i="5"/>
  <c r="J94" i="5" s="1"/>
  <c r="I94" i="5"/>
  <c r="H95" i="5"/>
  <c r="J95" i="5" s="1"/>
  <c r="I95" i="5"/>
  <c r="H96" i="5"/>
  <c r="J96" i="5" s="1"/>
  <c r="I96" i="5"/>
  <c r="H97" i="5"/>
  <c r="J97" i="5" s="1"/>
  <c r="I97" i="5"/>
  <c r="H98" i="5"/>
  <c r="J98" i="5" s="1"/>
  <c r="I98" i="5"/>
  <c r="H99" i="5"/>
  <c r="J99" i="5" s="1"/>
  <c r="I99" i="5"/>
  <c r="H100" i="5"/>
  <c r="J100" i="5" s="1"/>
  <c r="I100" i="5"/>
  <c r="H101" i="5"/>
  <c r="J101" i="5" s="1"/>
  <c r="I101" i="5"/>
  <c r="H102" i="5"/>
  <c r="J102" i="5" s="1"/>
  <c r="I102" i="5"/>
  <c r="H103" i="5"/>
  <c r="J103" i="5" s="1"/>
  <c r="I103" i="5"/>
  <c r="H104" i="5"/>
  <c r="J104" i="5" s="1"/>
  <c r="I104" i="5"/>
  <c r="H105" i="5"/>
  <c r="J105" i="5" s="1"/>
  <c r="I105" i="5"/>
  <c r="H106" i="5"/>
  <c r="J106" i="5" s="1"/>
  <c r="I106" i="5"/>
  <c r="H107" i="5"/>
  <c r="J107" i="5" s="1"/>
  <c r="I107" i="5"/>
  <c r="H108" i="5"/>
  <c r="J108" i="5" s="1"/>
  <c r="I108" i="5"/>
  <c r="H109" i="5"/>
  <c r="J109" i="5" s="1"/>
  <c r="I109" i="5"/>
  <c r="H110" i="5"/>
  <c r="J110" i="5" s="1"/>
  <c r="I110" i="5"/>
  <c r="H111" i="5"/>
  <c r="J111" i="5" s="1"/>
  <c r="I111" i="5"/>
  <c r="H112" i="5"/>
  <c r="J112" i="5" s="1"/>
  <c r="I112" i="5"/>
  <c r="H115" i="5"/>
  <c r="J115" i="5" s="1"/>
  <c r="I115" i="5"/>
  <c r="H116" i="5"/>
  <c r="J116" i="5" s="1"/>
  <c r="I116" i="5"/>
  <c r="H117" i="5"/>
  <c r="J117" i="5" s="1"/>
  <c r="I117" i="5"/>
  <c r="H118" i="5"/>
  <c r="J118" i="5" s="1"/>
  <c r="I118" i="5"/>
  <c r="H119" i="5"/>
  <c r="J119" i="5" s="1"/>
  <c r="I119" i="5"/>
  <c r="H120" i="5"/>
  <c r="J120" i="5" s="1"/>
  <c r="I120" i="5"/>
  <c r="H121" i="5"/>
  <c r="J121" i="5" s="1"/>
  <c r="I121" i="5"/>
  <c r="H122" i="5"/>
  <c r="J122" i="5" s="1"/>
  <c r="I122" i="5"/>
  <c r="H125" i="5"/>
  <c r="J125" i="5" s="1"/>
  <c r="I125" i="5"/>
  <c r="H126" i="5"/>
  <c r="J126" i="5" s="1"/>
  <c r="I126" i="5"/>
  <c r="H127" i="5"/>
  <c r="J127" i="5" s="1"/>
  <c r="I127" i="5"/>
  <c r="H128" i="5"/>
  <c r="J128" i="5" s="1"/>
  <c r="I128" i="5"/>
  <c r="H129" i="5"/>
  <c r="J129" i="5" s="1"/>
  <c r="I129" i="5"/>
  <c r="H130" i="5"/>
  <c r="J130" i="5" s="1"/>
  <c r="I130" i="5"/>
  <c r="H131" i="5"/>
  <c r="J131" i="5" s="1"/>
  <c r="I131" i="5"/>
  <c r="H132" i="5"/>
  <c r="J132" i="5" s="1"/>
  <c r="I132" i="5"/>
  <c r="H133" i="5"/>
  <c r="J133" i="5" s="1"/>
  <c r="I133" i="5"/>
  <c r="H134" i="5"/>
  <c r="J134" i="5" s="1"/>
  <c r="I134" i="5"/>
  <c r="H135" i="5"/>
  <c r="J135" i="5" s="1"/>
  <c r="I135" i="5"/>
  <c r="H136" i="5"/>
  <c r="J136" i="5" s="1"/>
  <c r="I136" i="5"/>
  <c r="H137" i="5"/>
  <c r="J137" i="5" s="1"/>
  <c r="I137" i="5"/>
  <c r="H139" i="5"/>
  <c r="J139" i="5" s="1"/>
  <c r="J138" i="5" s="1"/>
  <c r="D21" i="6" s="1"/>
  <c r="I139" i="5"/>
  <c r="I138" i="5" s="1"/>
  <c r="I124" i="5"/>
  <c r="H124" i="5"/>
  <c r="J124" i="5" s="1"/>
  <c r="I114" i="5"/>
  <c r="H114" i="5"/>
  <c r="J114" i="5" s="1"/>
  <c r="I85" i="5"/>
  <c r="H85" i="5"/>
  <c r="J85" i="5" s="1"/>
  <c r="H80" i="5"/>
  <c r="H78" i="5"/>
  <c r="H76" i="5"/>
  <c r="H74" i="5"/>
  <c r="H69" i="5"/>
  <c r="H63" i="5"/>
  <c r="H60" i="5"/>
  <c r="H55" i="5"/>
  <c r="H44" i="5"/>
  <c r="H36" i="5"/>
  <c r="H15" i="5"/>
  <c r="H12" i="5"/>
  <c r="I2" i="5"/>
  <c r="G25" i="5" l="1"/>
  <c r="H25" i="5" s="1"/>
  <c r="I84" i="5"/>
  <c r="I113" i="5"/>
  <c r="I123" i="5"/>
  <c r="I329" i="4"/>
  <c r="J84" i="5"/>
  <c r="J123" i="5"/>
  <c r="J113" i="5"/>
  <c r="I83" i="5" l="1"/>
  <c r="J83" i="5"/>
  <c r="D19" i="6" s="1"/>
  <c r="F19" i="6" l="1"/>
  <c r="G19" i="6"/>
  <c r="H19" i="6"/>
  <c r="E19" i="6"/>
  <c r="D123" i="4"/>
  <c r="D211" i="4"/>
  <c r="D210" i="4"/>
  <c r="D209" i="4"/>
  <c r="A95" i="4"/>
  <c r="A100" i="4" s="1"/>
  <c r="A105" i="4" s="1"/>
  <c r="D429" i="4"/>
  <c r="I429" i="4" s="1"/>
  <c r="H423" i="4"/>
  <c r="D423" i="4"/>
  <c r="I434" i="4"/>
  <c r="I435" i="4" s="1"/>
  <c r="F82" i="5" s="1"/>
  <c r="A428" i="4"/>
  <c r="I417" i="4"/>
  <c r="I411" i="4"/>
  <c r="I412" i="4"/>
  <c r="I413" i="4"/>
  <c r="I414" i="4"/>
  <c r="I415" i="4"/>
  <c r="I416" i="4"/>
  <c r="I410" i="4"/>
  <c r="I403" i="4"/>
  <c r="I404" i="4" s="1"/>
  <c r="F76" i="5" s="1"/>
  <c r="H396" i="4"/>
  <c r="D396" i="4"/>
  <c r="D110" i="4"/>
  <c r="D90" i="4"/>
  <c r="I90" i="4" s="1"/>
  <c r="I91" i="4" s="1"/>
  <c r="F25" i="5" s="1"/>
  <c r="E73" i="4"/>
  <c r="A60" i="4"/>
  <c r="A67" i="4" s="1"/>
  <c r="A61" i="4"/>
  <c r="A68" i="4" s="1"/>
  <c r="A59" i="4"/>
  <c r="A66" i="4" s="1"/>
  <c r="D54" i="4"/>
  <c r="I54" i="4" s="1"/>
  <c r="D53" i="4"/>
  <c r="I53" i="4" s="1"/>
  <c r="D52" i="4"/>
  <c r="I52" i="4" s="1"/>
  <c r="H31" i="4"/>
  <c r="H42" i="4" s="1"/>
  <c r="H32" i="4"/>
  <c r="H43" i="4" s="1"/>
  <c r="H33" i="4"/>
  <c r="H44" i="4" s="1"/>
  <c r="H34" i="4"/>
  <c r="H45" i="4" s="1"/>
  <c r="H35" i="4"/>
  <c r="H46" i="4" s="1"/>
  <c r="H36" i="4"/>
  <c r="H47" i="4" s="1"/>
  <c r="H30" i="4"/>
  <c r="H41" i="4" s="1"/>
  <c r="A31" i="4"/>
  <c r="A42" i="4" s="1"/>
  <c r="A32" i="4"/>
  <c r="A43" i="4" s="1"/>
  <c r="A33" i="4"/>
  <c r="A44" i="4" s="1"/>
  <c r="A34" i="4"/>
  <c r="A45" i="4" s="1"/>
  <c r="A35" i="4"/>
  <c r="A46" i="4" s="1"/>
  <c r="A36" i="4"/>
  <c r="A47" i="4" s="1"/>
  <c r="E25" i="4"/>
  <c r="E36" i="4" s="1"/>
  <c r="E47" i="4" s="1"/>
  <c r="D25" i="4"/>
  <c r="I25" i="4" s="1"/>
  <c r="E24" i="4"/>
  <c r="E35" i="4" s="1"/>
  <c r="E46" i="4" s="1"/>
  <c r="E23" i="4"/>
  <c r="E34" i="4" s="1"/>
  <c r="E45" i="4" s="1"/>
  <c r="E22" i="4"/>
  <c r="E33" i="4" s="1"/>
  <c r="E44" i="4" s="1"/>
  <c r="E21" i="4"/>
  <c r="E32" i="4" s="1"/>
  <c r="E43" i="4" s="1"/>
  <c r="E20" i="4"/>
  <c r="E31" i="4" s="1"/>
  <c r="E42" i="4" s="1"/>
  <c r="E19" i="4"/>
  <c r="E30" i="4" s="1"/>
  <c r="E41" i="4" s="1"/>
  <c r="D24" i="4"/>
  <c r="D23" i="4"/>
  <c r="D22" i="4"/>
  <c r="D21" i="4"/>
  <c r="D20" i="4"/>
  <c r="D19" i="4"/>
  <c r="I389" i="4"/>
  <c r="I388" i="4"/>
  <c r="I375" i="4"/>
  <c r="D381" i="4"/>
  <c r="I381" i="4" s="1"/>
  <c r="D382" i="4"/>
  <c r="I382" i="4" s="1"/>
  <c r="I374" i="4"/>
  <c r="I367" i="4"/>
  <c r="I368" i="4"/>
  <c r="I366" i="4"/>
  <c r="I227" i="4"/>
  <c r="A208" i="4"/>
  <c r="I20" i="4" l="1"/>
  <c r="I22" i="4"/>
  <c r="I23" i="4"/>
  <c r="I21" i="4"/>
  <c r="I24" i="4"/>
  <c r="D105" i="4"/>
  <c r="I110" i="4"/>
  <c r="I76" i="5"/>
  <c r="I75" i="5" s="1"/>
  <c r="J76" i="5"/>
  <c r="J75" i="5" s="1"/>
  <c r="J82" i="5"/>
  <c r="I82" i="5"/>
  <c r="I25" i="5"/>
  <c r="J25" i="5"/>
  <c r="A110" i="4"/>
  <c r="I423" i="4"/>
  <c r="I424" i="4" s="1"/>
  <c r="I418" i="4"/>
  <c r="F78" i="5" s="1"/>
  <c r="I396" i="4"/>
  <c r="I397" i="4" s="1"/>
  <c r="F74" i="5" s="1"/>
  <c r="A73" i="4"/>
  <c r="I19" i="4"/>
  <c r="I55" i="4"/>
  <c r="F18" i="5" s="1"/>
  <c r="D36" i="4"/>
  <c r="I36" i="4" s="1"/>
  <c r="D35" i="4"/>
  <c r="I35" i="4" s="1"/>
  <c r="D32" i="4"/>
  <c r="I32" i="4" s="1"/>
  <c r="D30" i="4"/>
  <c r="D41" i="4" s="1"/>
  <c r="D33" i="4"/>
  <c r="I33" i="4" s="1"/>
  <c r="D34" i="4"/>
  <c r="I34" i="4" s="1"/>
  <c r="D31" i="4"/>
  <c r="I31" i="4" s="1"/>
  <c r="I376" i="4"/>
  <c r="F70" i="5" s="1"/>
  <c r="I369" i="4"/>
  <c r="F69" i="5" s="1"/>
  <c r="I340" i="4"/>
  <c r="I333" i="4"/>
  <c r="I321" i="4"/>
  <c r="I322" i="4" s="1"/>
  <c r="F58" i="5" s="1"/>
  <c r="I287" i="4"/>
  <c r="I281" i="4"/>
  <c r="I275" i="4"/>
  <c r="D269" i="4"/>
  <c r="D268" i="4"/>
  <c r="A268" i="4"/>
  <c r="A269" i="4"/>
  <c r="A267" i="4"/>
  <c r="I259" i="4"/>
  <c r="A253" i="4"/>
  <c r="I253" i="4"/>
  <c r="I254" i="4" s="1"/>
  <c r="F47" i="5" s="1"/>
  <c r="I247" i="4"/>
  <c r="I241" i="4"/>
  <c r="I242" i="4" s="1"/>
  <c r="F45" i="5" s="1"/>
  <c r="I235" i="4"/>
  <c r="I117" i="4"/>
  <c r="A170" i="4"/>
  <c r="A183" i="4" s="1"/>
  <c r="A196" i="4" s="1"/>
  <c r="A171" i="4"/>
  <c r="A184" i="4" s="1"/>
  <c r="A197" i="4" s="1"/>
  <c r="A172" i="4"/>
  <c r="A185" i="4" s="1"/>
  <c r="A198" i="4" s="1"/>
  <c r="A173" i="4"/>
  <c r="A186" i="4" s="1"/>
  <c r="A199" i="4" s="1"/>
  <c r="A174" i="4"/>
  <c r="A187" i="4" s="1"/>
  <c r="A200" i="4" s="1"/>
  <c r="A175" i="4"/>
  <c r="A188" i="4" s="1"/>
  <c r="A201" i="4" s="1"/>
  <c r="A176" i="4"/>
  <c r="A189" i="4" s="1"/>
  <c r="A202" i="4" s="1"/>
  <c r="A169" i="4"/>
  <c r="A182" i="4" s="1"/>
  <c r="A195" i="4" s="1"/>
  <c r="D185" i="4"/>
  <c r="D187" i="4"/>
  <c r="D188" i="4"/>
  <c r="I175" i="4"/>
  <c r="I174" i="4"/>
  <c r="I172" i="4"/>
  <c r="D176" i="4"/>
  <c r="I176" i="4" s="1"/>
  <c r="D173" i="4"/>
  <c r="D186" i="4" s="1"/>
  <c r="D171" i="4"/>
  <c r="D170" i="4"/>
  <c r="I170" i="4" s="1"/>
  <c r="D169" i="4"/>
  <c r="D182" i="4" s="1"/>
  <c r="D163" i="4"/>
  <c r="D122" i="4"/>
  <c r="D120" i="4"/>
  <c r="I346" i="4"/>
  <c r="D293" i="4"/>
  <c r="I293" i="4" s="1"/>
  <c r="I294" i="4" s="1"/>
  <c r="F53" i="5" s="1"/>
  <c r="H220" i="4"/>
  <c r="D220" i="4"/>
  <c r="H219" i="4"/>
  <c r="D219" i="4"/>
  <c r="H218" i="4"/>
  <c r="D218" i="4"/>
  <c r="H217" i="4"/>
  <c r="D217" i="4"/>
  <c r="D162" i="4"/>
  <c r="D159" i="4"/>
  <c r="D157" i="4"/>
  <c r="D156" i="4"/>
  <c r="D155" i="4"/>
  <c r="I309" i="4"/>
  <c r="I310" i="4" s="1"/>
  <c r="F56" i="5" s="1"/>
  <c r="I300" i="4"/>
  <c r="D267" i="4"/>
  <c r="I267" i="4" s="1"/>
  <c r="H142" i="4"/>
  <c r="D142" i="4"/>
  <c r="H140" i="4"/>
  <c r="H141" i="4"/>
  <c r="H139" i="4"/>
  <c r="D141" i="4"/>
  <c r="D140" i="4"/>
  <c r="D139" i="4"/>
  <c r="D133" i="4"/>
  <c r="D132" i="4"/>
  <c r="D131" i="4"/>
  <c r="H121" i="4"/>
  <c r="D121" i="4"/>
  <c r="H120" i="4"/>
  <c r="J58" i="5" l="1"/>
  <c r="I58" i="5"/>
  <c r="I78" i="5"/>
  <c r="I77" i="5" s="1"/>
  <c r="J78" i="5"/>
  <c r="J77" i="5" s="1"/>
  <c r="G428" i="4"/>
  <c r="I428" i="4" s="1"/>
  <c r="I430" i="4" s="1"/>
  <c r="F81" i="5" s="1"/>
  <c r="F80" i="5"/>
  <c r="I69" i="5"/>
  <c r="J69" i="5"/>
  <c r="I74" i="5"/>
  <c r="I73" i="5" s="1"/>
  <c r="J74" i="5"/>
  <c r="J73" i="5" s="1"/>
  <c r="I70" i="5"/>
  <c r="J70" i="5"/>
  <c r="I45" i="5"/>
  <c r="J45" i="5"/>
  <c r="I18" i="5"/>
  <c r="J18" i="5"/>
  <c r="I47" i="5"/>
  <c r="J47" i="5"/>
  <c r="I56" i="5"/>
  <c r="J56" i="5"/>
  <c r="I53" i="5"/>
  <c r="J53" i="5"/>
  <c r="I26" i="4"/>
  <c r="D42" i="4"/>
  <c r="I42" i="4" s="1"/>
  <c r="D46" i="4"/>
  <c r="I46" i="4" s="1"/>
  <c r="D45" i="4"/>
  <c r="I45" i="4" s="1"/>
  <c r="D43" i="4"/>
  <c r="I43" i="4" s="1"/>
  <c r="D47" i="4"/>
  <c r="I47" i="4" s="1"/>
  <c r="D44" i="4"/>
  <c r="I44" i="4" s="1"/>
  <c r="I139" i="4"/>
  <c r="I270" i="4"/>
  <c r="F49" i="5" s="1"/>
  <c r="I171" i="4"/>
  <c r="I164" i="4"/>
  <c r="F36" i="5" s="1"/>
  <c r="D208" i="4"/>
  <c r="I335" i="4"/>
  <c r="F61" i="5" s="1"/>
  <c r="I217" i="4"/>
  <c r="I262" i="4"/>
  <c r="F48" i="5" s="1"/>
  <c r="I173" i="4"/>
  <c r="I169" i="4"/>
  <c r="I390" i="4"/>
  <c r="F72" i="5" s="1"/>
  <c r="D184" i="4"/>
  <c r="D183" i="4"/>
  <c r="D189" i="4"/>
  <c r="I383" i="4"/>
  <c r="F71" i="5" s="1"/>
  <c r="I229" i="4"/>
  <c r="F42" i="5" s="1"/>
  <c r="I342" i="4"/>
  <c r="F63" i="5" s="1"/>
  <c r="I316" i="4"/>
  <c r="I125" i="4" l="1"/>
  <c r="F31" i="5" s="1"/>
  <c r="I31" i="5" s="1"/>
  <c r="J72" i="5"/>
  <c r="I72" i="5"/>
  <c r="I63" i="5"/>
  <c r="J63" i="5"/>
  <c r="I71" i="5"/>
  <c r="J71" i="5"/>
  <c r="I81" i="5"/>
  <c r="J81" i="5"/>
  <c r="I61" i="5"/>
  <c r="J61" i="5"/>
  <c r="I80" i="5"/>
  <c r="J80" i="5"/>
  <c r="I36" i="5"/>
  <c r="J36" i="5"/>
  <c r="D78" i="4"/>
  <c r="F15" i="5"/>
  <c r="I42" i="5"/>
  <c r="J42" i="5"/>
  <c r="I49" i="5"/>
  <c r="J49" i="5"/>
  <c r="I48" i="5"/>
  <c r="J48" i="5"/>
  <c r="D73" i="4"/>
  <c r="I73" i="4" s="1"/>
  <c r="I208" i="4"/>
  <c r="I212" i="4" s="1"/>
  <c r="F40" i="5" s="1"/>
  <c r="I143" i="4"/>
  <c r="F33" i="5" s="1"/>
  <c r="I177" i="4"/>
  <c r="F37" i="5" s="1"/>
  <c r="I222" i="4"/>
  <c r="F41" i="5" s="1"/>
  <c r="D148" i="4"/>
  <c r="I148" i="4" s="1"/>
  <c r="I149" i="4" s="1"/>
  <c r="F34" i="5" s="1"/>
  <c r="I68" i="5" l="1"/>
  <c r="J68" i="5"/>
  <c r="J79" i="5"/>
  <c r="J31" i="5"/>
  <c r="I79" i="5"/>
  <c r="I34" i="5"/>
  <c r="J34" i="5"/>
  <c r="I37" i="5"/>
  <c r="J37" i="5"/>
  <c r="I33" i="5"/>
  <c r="J33" i="5"/>
  <c r="J40" i="5"/>
  <c r="I40" i="5"/>
  <c r="I15" i="5"/>
  <c r="J15" i="5"/>
  <c r="I41" i="5"/>
  <c r="J41" i="5"/>
  <c r="I190" i="4"/>
  <c r="F38" i="5" s="1"/>
  <c r="I203" i="4"/>
  <c r="I67" i="5" l="1"/>
  <c r="F39" i="5"/>
  <c r="J39" i="5" s="1"/>
  <c r="G79" i="4"/>
  <c r="J67" i="5"/>
  <c r="D17" i="6" s="1"/>
  <c r="I38" i="5"/>
  <c r="J38" i="5"/>
  <c r="I59" i="4"/>
  <c r="I62" i="4" s="1"/>
  <c r="F19" i="5" s="1"/>
  <c r="I79" i="4" l="1"/>
  <c r="G84" i="4"/>
  <c r="I84" i="4" s="1"/>
  <c r="I85" i="4" s="1"/>
  <c r="F23" i="5" s="1"/>
  <c r="I39" i="5"/>
  <c r="I35" i="5" s="1"/>
  <c r="F17" i="6"/>
  <c r="G17" i="6"/>
  <c r="E17" i="6"/>
  <c r="H17" i="6"/>
  <c r="J35" i="5"/>
  <c r="I19" i="5"/>
  <c r="J19" i="5"/>
  <c r="H3" i="4"/>
  <c r="H23" i="6" l="1"/>
  <c r="I95" i="4"/>
  <c r="I96" i="4" l="1"/>
  <c r="F26" i="5" s="1"/>
  <c r="I26" i="5" l="1"/>
  <c r="J26" i="5"/>
  <c r="I349" i="4"/>
  <c r="D130" i="4"/>
  <c r="A30" i="4"/>
  <c r="A41" i="4" s="1"/>
  <c r="I12" i="4"/>
  <c r="I13" i="4" s="1"/>
  <c r="F12" i="5" s="1"/>
  <c r="D353" i="4" l="1"/>
  <c r="I353" i="4" s="1"/>
  <c r="I354" i="4" s="1"/>
  <c r="F64" i="5"/>
  <c r="I12" i="5"/>
  <c r="I11" i="5" s="1"/>
  <c r="J12" i="5"/>
  <c r="J11" i="5" s="1"/>
  <c r="D13" i="6" s="1"/>
  <c r="I130" i="4"/>
  <c r="I134" i="4" s="1"/>
  <c r="F32" i="5" s="1"/>
  <c r="I304" i="4"/>
  <c r="F55" i="5" s="1"/>
  <c r="F65" i="5" l="1"/>
  <c r="I65" i="5" s="1"/>
  <c r="I358" i="4"/>
  <c r="I359" i="4" s="1"/>
  <c r="F66" i="5" s="1"/>
  <c r="I64" i="5"/>
  <c r="J64" i="5"/>
  <c r="J55" i="5"/>
  <c r="J54" i="5" s="1"/>
  <c r="I55" i="5"/>
  <c r="I54" i="5" s="1"/>
  <c r="I32" i="5"/>
  <c r="I30" i="5" s="1"/>
  <c r="J32" i="5"/>
  <c r="J30" i="5" s="1"/>
  <c r="I66" i="5" l="1"/>
  <c r="I62" i="5" s="1"/>
  <c r="J66" i="5"/>
  <c r="J65" i="5"/>
  <c r="I288" i="4"/>
  <c r="F52" i="5" s="1"/>
  <c r="I282" i="4"/>
  <c r="F51" i="5" s="1"/>
  <c r="I276" i="4"/>
  <c r="F50" i="5" s="1"/>
  <c r="I105" i="4"/>
  <c r="I106" i="4" s="1"/>
  <c r="F29" i="5" s="1"/>
  <c r="I100" i="4"/>
  <c r="I101" i="4" s="1"/>
  <c r="F27" i="5" s="1"/>
  <c r="I66" i="4"/>
  <c r="J62" i="5" l="1"/>
  <c r="I50" i="5"/>
  <c r="J50" i="5"/>
  <c r="I27" i="5"/>
  <c r="J27" i="5"/>
  <c r="J51" i="5"/>
  <c r="I51" i="5"/>
  <c r="I29" i="5"/>
  <c r="J29" i="5"/>
  <c r="J52" i="5"/>
  <c r="I52" i="5"/>
  <c r="I69" i="4"/>
  <c r="I41" i="4"/>
  <c r="I48" i="4" s="1"/>
  <c r="I248" i="4"/>
  <c r="F46" i="5" s="1"/>
  <c r="I30" i="4"/>
  <c r="I37" i="4" s="1"/>
  <c r="F16" i="5" s="1"/>
  <c r="I236" i="4"/>
  <c r="F44" i="5" s="1"/>
  <c r="E78" i="4" l="1"/>
  <c r="F20" i="5"/>
  <c r="I44" i="5"/>
  <c r="J44" i="5"/>
  <c r="F78" i="4"/>
  <c r="F17" i="5"/>
  <c r="J16" i="5"/>
  <c r="I16" i="5"/>
  <c r="I46" i="5"/>
  <c r="J46" i="5"/>
  <c r="I74" i="4"/>
  <c r="F21" i="5" s="1"/>
  <c r="I111" i="4"/>
  <c r="F28" i="5" s="1"/>
  <c r="I78" i="4" l="1"/>
  <c r="I80" i="4" s="1"/>
  <c r="F22" i="5" s="1"/>
  <c r="I17" i="5"/>
  <c r="J17" i="5"/>
  <c r="I43" i="5"/>
  <c r="J43" i="5"/>
  <c r="I20" i="5"/>
  <c r="J20" i="5"/>
  <c r="I28" i="5"/>
  <c r="I24" i="5" s="1"/>
  <c r="J28" i="5"/>
  <c r="J24" i="5" s="1"/>
  <c r="I21" i="5"/>
  <c r="J21" i="5"/>
  <c r="J22" i="5" l="1"/>
  <c r="J14" i="5" s="1"/>
  <c r="I22" i="5"/>
  <c r="I14" i="5" s="1"/>
  <c r="F60" i="5" l="1"/>
  <c r="I60" i="5" l="1"/>
  <c r="I59" i="5" s="1"/>
  <c r="I13" i="5" s="1"/>
  <c r="I10" i="5" s="1"/>
  <c r="J60" i="5"/>
  <c r="J59" i="5" s="1"/>
  <c r="J13" i="5" l="1"/>
  <c r="J10" i="5" l="1"/>
  <c r="J140" i="5" s="1"/>
  <c r="D15" i="6"/>
  <c r="G15" i="6" l="1"/>
  <c r="G23" i="6" s="1"/>
  <c r="D23" i="6"/>
  <c r="D14" i="6" s="1"/>
  <c r="E15" i="6"/>
  <c r="E23" i="6" s="1"/>
  <c r="F15" i="6"/>
  <c r="F23" i="6" s="1"/>
  <c r="F22" i="6" l="1"/>
  <c r="G22" i="6"/>
  <c r="E22" i="6"/>
  <c r="D20" i="6"/>
  <c r="D16" i="6"/>
  <c r="D18" i="6"/>
  <c r="D12" i="6"/>
  <c r="H22" i="6"/>
  <c r="D22" i="6" l="1"/>
</calcChain>
</file>

<file path=xl/sharedStrings.xml><?xml version="1.0" encoding="utf-8"?>
<sst xmlns="http://schemas.openxmlformats.org/spreadsheetml/2006/main" count="1405" uniqueCount="595">
  <si>
    <t>DESCRIÇÃO</t>
  </si>
  <si>
    <t>SERVIÇOS PRELIMINARES</t>
  </si>
  <si>
    <t>1.1</t>
  </si>
  <si>
    <t>1.3</t>
  </si>
  <si>
    <t>APILOAMENTO MANUAL EM FUNDO DE VALA COM SOQUETE, EXCLUSIVE ESCAVAÇÃO</t>
  </si>
  <si>
    <t>CORTE, DOBRA E MONTAGEM DE AÇO CA-50/60, INCLUSIVE ESPAÇADOR</t>
  </si>
  <si>
    <t>SUPERESTRUTURA</t>
  </si>
  <si>
    <t>CIMBRAMENTO PARA LAJE PRÉ-MOLDADA COM ESCORAMENTO METÁLICO, TIPO "A", ALTURA DE (200 ATÉ 310)CM, INCLUSIVE DESCARGA, MONTAGEM, DESMONTAGEM E CARGA</t>
  </si>
  <si>
    <t>REGULARIZAÇÃO E COMPACTAÇÃO DE TERRENO MANUAL COM SOQUETE, EXCLUSIVE DESMATAMENTO, DESTOCAMENTO, LIMPEZA/ROÇADA DO TERRENO</t>
  </si>
  <si>
    <t>CUBA DE EMBUTIR OVAL EM LOUÇA BRANCA, 35 X 50CM OU EQUIVALENTE, INCLUSO VÁLVULA EM METAL CROMADO E SIFÃO FLEXÍVEL EM PVC - FORNECIMENTO E INSTALAÇÃO. AF_01/2020</t>
  </si>
  <si>
    <t>BANCADA EM GRANITO, COR CINZA ANDORINHA, ESP. 3CM, ACABAMENTO POLIDO, APOIADA EM CONSOLE DE METALON (50X30)MM, EXCLUSIVE RODABANCA/FRONTÃO, TESTEIRA/FAIXA, FURO EM BANCADA, CUBA METÁLICA, SIFÃO, TORNEIRA E ENGATE FLEXÍVEL</t>
  </si>
  <si>
    <t>BARRA DE APOIO EM AÇO INOX POLIDO RETA, DIÂMETRO DE 1.1/4", PARA ACESSIBILIDADE (PMR/PCR), COMPRIMENTO 40CM, INSTALADO EM PORTA/PAREDE, INCLUSIVE ACESSÓRIOS PARA FIXAÇÃO</t>
  </si>
  <si>
    <t>BARRA DE APOIO EM AÇO INOX PARA LAVATÓRIO DE CANTO D=32MM E= 1,5MM</t>
  </si>
  <si>
    <t>CHUVEIRO ELÉTRICO BRANCO, TENSÃO 127V/220V, POTÊNCIA 4600W/5500W, INCLUSIVE BRAÇO/CANO</t>
  </si>
  <si>
    <t>PINTURA DA EDIFICAÇÃO</t>
  </si>
  <si>
    <t>TOTAL</t>
  </si>
  <si>
    <t xml:space="preserve">DESCRIÇÃO:
</t>
  </si>
  <si>
    <t>Código</t>
  </si>
  <si>
    <t>Localização</t>
  </si>
  <si>
    <t>Descrição</t>
  </si>
  <si>
    <t>Comprimento (m)</t>
  </si>
  <si>
    <t>Largura (m)</t>
  </si>
  <si>
    <t>Repet.</t>
  </si>
  <si>
    <t>Área Total (m²)</t>
  </si>
  <si>
    <t>OBS:</t>
  </si>
  <si>
    <t xml:space="preserve">INFRAESTRUTURA </t>
  </si>
  <si>
    <t>Comp. + 0,10 para cada lado (m)</t>
  </si>
  <si>
    <t>Largura + 0,10 para cada lado (m)</t>
  </si>
  <si>
    <t>Altura + 0,05 do lastro (m)</t>
  </si>
  <si>
    <t>Repetição</t>
  </si>
  <si>
    <t>Volume Total (m³)</t>
  </si>
  <si>
    <t>Espessura (m)</t>
  </si>
  <si>
    <t>Escavação (m³)</t>
  </si>
  <si>
    <t>Concreto (m³)</t>
  </si>
  <si>
    <t>Lastro (m³)</t>
  </si>
  <si>
    <t>Peso (kg)</t>
  </si>
  <si>
    <t>Peso Total (kg)</t>
  </si>
  <si>
    <t>Área  (m²)</t>
  </si>
  <si>
    <t>Volume (m³)</t>
  </si>
  <si>
    <t xml:space="preserve"> ALVENARIAS</t>
  </si>
  <si>
    <t>LOCALIZAÇÃO</t>
  </si>
  <si>
    <t>Compr. (m)</t>
  </si>
  <si>
    <t>Altura (m)</t>
  </si>
  <si>
    <t>Rept.</t>
  </si>
  <si>
    <t>Desconto Esquadrias (m²)</t>
  </si>
  <si>
    <t>Comp. (m) + 0,30 p/ cada lado</t>
  </si>
  <si>
    <t>Descontos Esquadrias (m)</t>
  </si>
  <si>
    <t>Compr. Total (m)</t>
  </si>
  <si>
    <t>Logradouro</t>
  </si>
  <si>
    <t>Área (m²)</t>
  </si>
  <si>
    <t xml:space="preserve">LOUÇAS, METAIS, BANCADAS E ESQUADRIAS </t>
  </si>
  <si>
    <t>Unidade</t>
  </si>
  <si>
    <t>Unidade Total</t>
  </si>
  <si>
    <t>Área (m2)</t>
  </si>
  <si>
    <t xml:space="preserve">BARRA DE APOIO EM AÇO INOX POLIDO RETA, DN 1.1/4" (31,75MM), PARA ACESSIBILIDADE (PMR/PCR), COMPRIMENTO 80CM, INSTALADO EM PAREDE, INCLUSIVE FORNECIMENTO, INSTALAÇÃO E ACESSÓRIOS PARA FIXAÇÃO </t>
  </si>
  <si>
    <t>Quantidade</t>
  </si>
  <si>
    <t>JANELA BASCULANTE EM ALUMÍNIO ANODIZADO, COR BRANCA, COM VIDRO DE 4MM LISO INCOLOR</t>
  </si>
  <si>
    <t>Nº Lados</t>
  </si>
  <si>
    <t>SERVIÇOS COMPLEMENTARES</t>
  </si>
  <si>
    <t xml:space="preserve"> Total (und)</t>
  </si>
  <si>
    <t>VERGA OU CONTRAVERGA EM CONCRETO ESTRUTURAL PARA VÃOS ACIMA DE 150CM, PREPARADO EM OBRA COM BETONEIRA, CONTROLE "A", COM FCK 20 MPA, MOLDADA IN LOCO, INCLUSIVE ARMAÇÃO</t>
  </si>
  <si>
    <t>90X210</t>
  </si>
  <si>
    <t>210X90</t>
  </si>
  <si>
    <t>P02</t>
  </si>
  <si>
    <t>Reaproveitamento</t>
  </si>
  <si>
    <t>1.3.1</t>
  </si>
  <si>
    <t>1.3.2</t>
  </si>
  <si>
    <t>1.3.3</t>
  </si>
  <si>
    <t>1.3.4</t>
  </si>
  <si>
    <t>1.3.5</t>
  </si>
  <si>
    <t>KAREN MARIANA SOARES VIEIRA</t>
  </si>
  <si>
    <t>ENGENHEIRA CIVIL - CREA 332.425/D</t>
  </si>
  <si>
    <t>PREFEITO MUNICIPAL DE OLHOS D'ÁGUA - MG</t>
  </si>
  <si>
    <t>RODRIGO VIEIRA DE MATOS</t>
  </si>
  <si>
    <t>FÔRMA E DESFORMA DE COMPENSADO PLASTIFICADO, ESP. 12MM, REAPROVEITAMENTO (5X), EXCLUSIVE ESCORAMENTO</t>
  </si>
  <si>
    <t>CONTRAPISO DESEMPENADO COM ARGAMASSA, TRAÇO 1:3 (CIMENTO E AREIA), ESP. 20MM, INCLUSIVE ARGAMASSA COM PREPARO MECANIZADO</t>
  </si>
  <si>
    <t>RODABANCA/FRONTÃO PARA BANCADA EM GRANITO, COR CINZA ANDORINHA, ESP. 2CM, ALTURA DE 10CM, INCLUSIVE REJUNTAMENTO EM MASSA PLÁSTICA NA COR DA PEDRA</t>
  </si>
  <si>
    <t>BARRA DE APOIO EM AÇO INOX POLIDO PARA LAVATÓRIO DE CANTO, DIÂMETRO DE 1.1/4", PARA ACESSIBILIDADE (PMR/PCR), INSTALADO EM PAREDE, INCLUSIVE ACESSÓRIOS PARA FIXAÇÃO</t>
  </si>
  <si>
    <t>OBRA :</t>
  </si>
  <si>
    <t>DESCRIÇÃO DA OBRA:</t>
  </si>
  <si>
    <t>ENDEREÇO:</t>
  </si>
  <si>
    <t>Data:</t>
  </si>
  <si>
    <t>RESPONSÁVEL TECNICO:</t>
  </si>
  <si>
    <t>KÁREN MARIANA SOARES VIEIRA</t>
  </si>
  <si>
    <t>Art.:</t>
  </si>
  <si>
    <t>ISS:</t>
  </si>
  <si>
    <t>BDI:</t>
  </si>
  <si>
    <t>PREFEITURA MUNICIPAL DE OLHOS D'ÁGUA-MG</t>
  </si>
  <si>
    <t>2,09+1,87</t>
  </si>
  <si>
    <t>FORNECIMENTO E COLOCAÇÃO DE PLACA DE OBRA EM CHAPA GALVANIZADA #26, ESP. 0,45MM, DIMENSÃO (3X1,5)M, PLOTADA COM ADESIVO VINÍLICO, AFIXADA COM REBITES 4,8X40MM, EM ESTRUTURA METÁLICA DE METALON 20X20MM, ESP. 1,25MM, INCLUSIVE SUPORTE EM EUCALIPTO AUTOCLAVADO PINTADO COM TINTA PVA DUAS (2) DEMÃOS</t>
  </si>
  <si>
    <t>1.1.1</t>
  </si>
  <si>
    <t>PNE FEM.</t>
  </si>
  <si>
    <t>PENE MASC.</t>
  </si>
  <si>
    <t>W.C FUNC.</t>
  </si>
  <si>
    <t>COZINHA</t>
  </si>
  <si>
    <t xml:space="preserve">DISPENSA </t>
  </si>
  <si>
    <t>ÁREA EXTERNA ( BANHEIROS, COZINHA, DISPENSA)</t>
  </si>
  <si>
    <t>0,9*2,1*2</t>
  </si>
  <si>
    <t>(0,6*0,6*4)+(0,9*2,1*3)+(1,1*1,2*2)+(0,8*2,1)</t>
  </si>
  <si>
    <t>P-02 (0,9*2,1)</t>
  </si>
  <si>
    <t>P-03 (0,8*2,1)</t>
  </si>
  <si>
    <t>J-03 (0,6*0,6)</t>
  </si>
  <si>
    <t>J-04 (1,2*1,1)</t>
  </si>
  <si>
    <t>P-02</t>
  </si>
  <si>
    <t>P-03</t>
  </si>
  <si>
    <t>J-03</t>
  </si>
  <si>
    <t>J-04</t>
  </si>
  <si>
    <t>1,98+2,00+1,98+2,00</t>
  </si>
  <si>
    <t>2,00*4</t>
  </si>
  <si>
    <t>(0,6*0,6)+(0,9*2,1)</t>
  </si>
  <si>
    <t>2,64+3,44+2,64+3,44</t>
  </si>
  <si>
    <t>(0,9*2,1)+(1,2*1,1*2)</t>
  </si>
  <si>
    <t xml:space="preserve">PNE FEM., PNE MASC., W.C FUNC., COZINHA </t>
  </si>
  <si>
    <t xml:space="preserve">PISOS  E REVESTIMENTOS </t>
  </si>
  <si>
    <t>PNE MASC.</t>
  </si>
  <si>
    <t xml:space="preserve">COZINHA </t>
  </si>
  <si>
    <t>1,85+0,6</t>
  </si>
  <si>
    <t xml:space="preserve">Unidade Total </t>
  </si>
  <si>
    <t xml:space="preserve">ESQUADRIAS </t>
  </si>
  <si>
    <t>80X210</t>
  </si>
  <si>
    <t>PINTURA ESMALTE BASE SOLVENTE EM ESQUADRIA DE MADEIRA, DUAS (2) DEMÃOS, COM APLICAÇÃO MANUAL, INCLUSIVE UMA (1) DEMÃO DE FUNDO NIVELADOR E PREPARAÇÃO DA SUPERFÍCIE COM LIXAMENTO, EXCLUSIVE MASSA A ÓLEO</t>
  </si>
  <si>
    <t>210X80</t>
  </si>
  <si>
    <t>DESCRIÇÃO (ESQUADRIAS)</t>
  </si>
  <si>
    <t xml:space="preserve">HALL DE ENTRADA </t>
  </si>
  <si>
    <t>ÁREA 02</t>
  </si>
  <si>
    <t xml:space="preserve">Descrição </t>
  </si>
  <si>
    <t>LAVANDERIA ÁREA EXTERNA</t>
  </si>
  <si>
    <t xml:space="preserve">MURETA </t>
  </si>
  <si>
    <t xml:space="preserve">RAMPA DE ACESSIBILIDADE </t>
  </si>
  <si>
    <t>Comprimento Total</t>
  </si>
  <si>
    <t>6,92+6,92</t>
  </si>
  <si>
    <t xml:space="preserve">COBERTURA </t>
  </si>
  <si>
    <t xml:space="preserve">ÁREA COBERTURA </t>
  </si>
  <si>
    <t xml:space="preserve">REFORMA </t>
  </si>
  <si>
    <t>Unidades (Und)</t>
  </si>
  <si>
    <t>Unidades Total (Und)</t>
  </si>
  <si>
    <t>1,4+3,44</t>
  </si>
  <si>
    <t>3,8+11,86+2,4+6,64+5,22</t>
  </si>
  <si>
    <t xml:space="preserve">Nº de Lados </t>
  </si>
  <si>
    <t>8,50+1,8+7,26+1,8+2,6</t>
  </si>
  <si>
    <t>ÁREA 01</t>
  </si>
  <si>
    <t>40,26+24,03</t>
  </si>
  <si>
    <t xml:space="preserve">PISO ENTRONO EDIFICAÇÃO ENTORNO </t>
  </si>
  <si>
    <t>((0,6*0,6)+(0,9*2,1))*2</t>
  </si>
  <si>
    <t>PNE FEM., PNE MASC.</t>
  </si>
  <si>
    <t xml:space="preserve"> W.C FUNC.</t>
  </si>
  <si>
    <t xml:space="preserve">PIA COZINHA </t>
  </si>
  <si>
    <t xml:space="preserve">BALCÃO COZINHA </t>
  </si>
  <si>
    <t>W.C. FUN</t>
  </si>
  <si>
    <t>1,45+0,6</t>
  </si>
  <si>
    <t>0,6+0,6</t>
  </si>
  <si>
    <t xml:space="preserve">Repetção </t>
  </si>
  <si>
    <t xml:space="preserve">VASOS </t>
  </si>
  <si>
    <t xml:space="preserve">PIA COM COLUNA </t>
  </si>
  <si>
    <t xml:space="preserve">PIA DA COZINHA </t>
  </si>
  <si>
    <t>PORTA 60X210</t>
  </si>
  <si>
    <t>JANELA 40X40</t>
  </si>
  <si>
    <t>QUARTO</t>
  </si>
  <si>
    <t xml:space="preserve">BANHEIRO </t>
  </si>
  <si>
    <t>4+1,15+1,15+1,15+1,15+1,15+1,15</t>
  </si>
  <si>
    <t>1,28+0,60</t>
  </si>
  <si>
    <t xml:space="preserve">LAJE DE CONCRETO </t>
  </si>
  <si>
    <t>PISO AO INTORNO</t>
  </si>
  <si>
    <t>SAPATAS S1=S4=S5=S17=S18=S22</t>
  </si>
  <si>
    <t>SAPATAS S2=S14</t>
  </si>
  <si>
    <t>SAPATA S3=S21</t>
  </si>
  <si>
    <t>SAPATA S6=S10=S11=S12=S13</t>
  </si>
  <si>
    <t>SAPATA S7=S8=S9=S15=S16</t>
  </si>
  <si>
    <t>SAPATA S19=S20</t>
  </si>
  <si>
    <t>95X95CM</t>
  </si>
  <si>
    <t>75X75CM</t>
  </si>
  <si>
    <t xml:space="preserve">55X70CM </t>
  </si>
  <si>
    <t xml:space="preserve">VIGAS BALDRAMES </t>
  </si>
  <si>
    <t>5,31+1,49+7,21+7,21+8,68+3,63+7,21+11,75+1,85+4,20+5,11+11,87+3,99+3,99+4+4+4,08</t>
  </si>
  <si>
    <t xml:space="preserve">SAPATAS </t>
  </si>
  <si>
    <t>271,3+45,7</t>
  </si>
  <si>
    <t>171,8+78,4</t>
  </si>
  <si>
    <t>NIVEL ARRIMO</t>
  </si>
  <si>
    <t>210,4+80,9</t>
  </si>
  <si>
    <t xml:space="preserve">SUPRAESTRUTURA </t>
  </si>
  <si>
    <t>300,6+145</t>
  </si>
  <si>
    <t xml:space="preserve">Repetição </t>
  </si>
  <si>
    <t>PAREDE EM CHAPA DE GESSO ACARTONADO (DRYWALL), DIVISÃO ENTRE ÁREAS SECAS DE UMA MESMA UNIDADE (ST/ST), ESP. 115 MM, INCLUSIVE MONTANTES, GUIAS E ACESSÓRIOS, EXCLUSIVE ISOLANTE TÉRMICO/ACÚSTICO</t>
  </si>
  <si>
    <t>DIVISÓRIAS INTERNAS</t>
  </si>
  <si>
    <t>2,96*2+6,92*2</t>
  </si>
  <si>
    <t>PORTA DE MADEIRA COMPLETA, DIMENSÃO (80X210)CM, TIPO DE ABRIR, UMA (1) FOLHA, ACABAMENTO NATURAL PARA PINTURA/VERNIZ, TIPO PRANCHETA/SARRAFEADA, INCLUSIVE MARCO, ALIZAR E FERRAGENS, EXCLUSIVE PINTURA/VERNIZ</t>
  </si>
  <si>
    <t>Unidade (UNID)</t>
  </si>
  <si>
    <t xml:space="preserve">PORTAS INTERNAS </t>
  </si>
  <si>
    <t>Unidade (UN)</t>
  </si>
  <si>
    <t>FORRO EM RÉGUA DE PVC, LARGURA 20CM, NA COR BRANCA, INCLUSIVE ESTRUTURA DE FIXAÇÃO E PENDURAIS METÁLICOS E ACESSÓRIOS DE FIXAÇÃO, EXCLUSIVE RODAFORRO OU MOLDURA</t>
  </si>
  <si>
    <t>SALA DE AULA 01</t>
  </si>
  <si>
    <t>SALA DE AULA 02</t>
  </si>
  <si>
    <t>SALA DE AULA 03</t>
  </si>
  <si>
    <t>SALA DE AULA 04</t>
  </si>
  <si>
    <t xml:space="preserve">DIREÇÃO </t>
  </si>
  <si>
    <t xml:space="preserve">BIBLIOTECA </t>
  </si>
  <si>
    <t>HALL 01</t>
  </si>
  <si>
    <t>HALL 02</t>
  </si>
  <si>
    <t xml:space="preserve">TOTAL </t>
  </si>
  <si>
    <t xml:space="preserve">PINTURA </t>
  </si>
  <si>
    <t xml:space="preserve">Nº de  Lados </t>
  </si>
  <si>
    <t xml:space="preserve">PAREDES EXISTENTES </t>
  </si>
  <si>
    <t>21,25*2+6,41*4+4</t>
  </si>
  <si>
    <t>PORTA 80X210</t>
  </si>
  <si>
    <t xml:space="preserve">AMPLIAÇÃO </t>
  </si>
  <si>
    <t>1.2</t>
  </si>
  <si>
    <t>1.2.1</t>
  </si>
  <si>
    <t>1.2.3</t>
  </si>
  <si>
    <t>1.2.2</t>
  </si>
  <si>
    <t>1.2.4</t>
  </si>
  <si>
    <t>ESCADA</t>
  </si>
  <si>
    <t>PISO RAMPA</t>
  </si>
  <si>
    <t xml:space="preserve">PISO ESCADA </t>
  </si>
  <si>
    <t xml:space="preserve">PISO ENTRADA </t>
  </si>
  <si>
    <t>3,1*2+3*2+1,9*2</t>
  </si>
  <si>
    <t>DATA:</t>
  </si>
  <si>
    <t>ART.:</t>
  </si>
  <si>
    <t xml:space="preserve">FORMA DE EXECUÇÃO: </t>
  </si>
  <si>
    <t>(    )</t>
  </si>
  <si>
    <t>DIRETA</t>
  </si>
  <si>
    <t>( X )</t>
  </si>
  <si>
    <t>INDIRETA</t>
  </si>
  <si>
    <t>COMPOSIÇÃO/DEMONSTRATIVO DE BDI - EM ANEXO</t>
  </si>
  <si>
    <t>% ISS MUNICIPAL:</t>
  </si>
  <si>
    <t>ITEM</t>
  </si>
  <si>
    <t>CÓDIGO</t>
  </si>
  <si>
    <t>FONTE</t>
  </si>
  <si>
    <t>UNID</t>
  </si>
  <si>
    <t>QUANTIDADE</t>
  </si>
  <si>
    <t>PREÇO UNITÁRIO R$</t>
  </si>
  <si>
    <t>PREÇO TOTAL R$</t>
  </si>
  <si>
    <t>SEM BDI</t>
  </si>
  <si>
    <t>COM BDI</t>
  </si>
  <si>
    <r>
      <t xml:space="preserve">RESPONSÁVEL TECNICO: </t>
    </r>
    <r>
      <rPr>
        <sz val="12"/>
        <rFont val="Times New Roman"/>
        <family val="1"/>
      </rPr>
      <t>KÁREN MARIANA SOARES VIEIRA</t>
    </r>
  </si>
  <si>
    <r>
      <rPr>
        <b/>
        <sz val="12"/>
        <rFont val="Times New Roman"/>
        <family val="1"/>
      </rPr>
      <t>REGIÃO/MÊS DE REFERÊNCIA:</t>
    </r>
    <r>
      <rPr>
        <sz val="12"/>
        <rFont val="Times New Roman"/>
        <family val="1"/>
      </rPr>
      <t xml:space="preserve"> SINAPI 02/2026 DES. - SETOP 01/2026 DES.</t>
    </r>
  </si>
  <si>
    <t>1.0</t>
  </si>
  <si>
    <t>REFORMA E AMPLIAÇÃO DA ESCOLA MUNICIPAL JOAQUIM PESSOA</t>
  </si>
  <si>
    <t>ED-28427</t>
  </si>
  <si>
    <t>SETOP</t>
  </si>
  <si>
    <t>un</t>
  </si>
  <si>
    <t>AMPLIAÇÃO</t>
  </si>
  <si>
    <t>INFRAESTRUTURA</t>
  </si>
  <si>
    <t>1.2.1.1</t>
  </si>
  <si>
    <t>ED-51110</t>
  </si>
  <si>
    <t>ESCAVAÇÃO MANUAL DE TERRA (DESATERRO MANUAL), INCLUSIVE DESCARGA LATERAL, EXCLUSIVE RETIRADA E TRANSPORTE DO MATERIAL ESCAVADO</t>
  </si>
  <si>
    <t>m3</t>
  </si>
  <si>
    <t>1.2.1.2</t>
  </si>
  <si>
    <t>ED-51093</t>
  </si>
  <si>
    <t>m2</t>
  </si>
  <si>
    <t>1.2.1.3</t>
  </si>
  <si>
    <t>ED-49812</t>
  </si>
  <si>
    <t>LASTRO DE CONCRETO MAGRO, INCLUSIVE TRANSPORTE, LANÇAMENTO E ADENSAMENTO</t>
  </si>
  <si>
    <t>1.2.1.4</t>
  </si>
  <si>
    <t>ED-48298</t>
  </si>
  <si>
    <t>Kg</t>
  </si>
  <si>
    <t>1.2.1.5</t>
  </si>
  <si>
    <t>ED-49647</t>
  </si>
  <si>
    <t>1.2.1.6</t>
  </si>
  <si>
    <t>ED-8495</t>
  </si>
  <si>
    <t>CONCRETO ESTRUTURAL, PREPARADO EM OBRA COM BETONEIRA, CONTROLE "A", COM FCK 25MPA, BRITA Nº (1), CONSISTÊNCIA PARA VIBRAÇÃO (FABRICAÇÃO)</t>
  </si>
  <si>
    <t>1.2.1.7</t>
  </si>
  <si>
    <t>ED-50174</t>
  </si>
  <si>
    <t>IMPERMEABILIZAÇÃO COM EMULSÃO ASFÁLTICA, DUAS (2) DEMÃOS</t>
  </si>
  <si>
    <t>1.2.1.8</t>
  </si>
  <si>
    <t>ED-51121</t>
  </si>
  <si>
    <t>REATERRO MANUAL DE VALA, INCLUSIVE ESPALHAMENTO E COMPACTAÇÃO MECANIZADA COM PLACA VIBRATÓRIA</t>
  </si>
  <si>
    <t>SUPRAESTRUTURA</t>
  </si>
  <si>
    <t>1.2.2.1</t>
  </si>
  <si>
    <t>1.2.2.2</t>
  </si>
  <si>
    <t>1.2.2.3</t>
  </si>
  <si>
    <t>ED-49619</t>
  </si>
  <si>
    <t>FORNECIMENTO DE CONCRETO ESTRUTURAL, PREPARADO EM OBRA, COM FCK 25MPA, INCLUSIVE LANÇAMENTO, ADENSAMENTO E ACABAMENTO</t>
  </si>
  <si>
    <t>1.2.2.4</t>
  </si>
  <si>
    <t>ED-19637</t>
  </si>
  <si>
    <t>m2xmês</t>
  </si>
  <si>
    <t>1.2.2.5</t>
  </si>
  <si>
    <t>ED-50252</t>
  </si>
  <si>
    <t>LAJE PRÉ-MOLDADA UNIDIRECIONAL COM ENCHIMENTO EM POLIESTIRENO EXPANDIDO (EPS), CAPEAMENTO DE 4CM, SOBRECARGA DE 100KG/M2, ALTURA TOTAL DE 11CM E VÃO LIVRE MÁXIMO DE 3M, INCLUSIVE CONCRETO ESTRUTURAL, USINADO BOMBEADO COM FCK DE 20MPA, EXCLUSIVE TELA ARMADA E CIMBRAMENTO</t>
  </si>
  <si>
    <t>ALVENARIA E REVESTIMENTO</t>
  </si>
  <si>
    <t>1.2.3.1</t>
  </si>
  <si>
    <t>ED-48195</t>
  </si>
  <si>
    <t>ALVENARIA DE VEDAÇÃO COM BLOCO DE CONCRETO, ESP. 14CM, INCLUSIVE ARGAMASSA PARA ASSENTAMENTO</t>
  </si>
  <si>
    <t>1.2.3.2</t>
  </si>
  <si>
    <t>ED-9906</t>
  </si>
  <si>
    <t>1.2.3.3</t>
  </si>
  <si>
    <t>ED-50727</t>
  </si>
  <si>
    <t>CHAPISCO COM ARGAMASSA, TRAÇO 1:3 (CIMENTO E AREIA), ESP. 5MM, APLICADO EM ALVENARIA/ESTRUTURA DE CONCRETO COM COLHER, INCLUSIVE ARGAMASSA COM PREPARO MECANIZADO</t>
  </si>
  <si>
    <t>1.2.3.4</t>
  </si>
  <si>
    <t>ED-50732</t>
  </si>
  <si>
    <t>EMBOÇO COM ARGAMASSA, TRAÇO 1:6 (CIMENTO E AREIA), ESP. 20MM, APLICAÇÃO MANUAL, INCLUSIVE ARGAMASSA COM PREPARO MECANIZADO, EXCLUSIVE CHAPISCO</t>
  </si>
  <si>
    <t>PISOS E REVESTIMENTOS</t>
  </si>
  <si>
    <t>1.2.4.1</t>
  </si>
  <si>
    <t>ED-51122</t>
  </si>
  <si>
    <t>1.2.4.2</t>
  </si>
  <si>
    <t>1.2.4.3</t>
  </si>
  <si>
    <t>ED-50566</t>
  </si>
  <si>
    <t>1.2.4.4</t>
  </si>
  <si>
    <t>ED-50553</t>
  </si>
  <si>
    <t>PISO CIMENTADO NATADO COM ARGAMASSA, ACABAMENTO QUEIMADO, TRAÇO 1:3 (CIMENTO E AREIA), ESP. 25MM, SEM JUNTA DE DILATAÇÃO</t>
  </si>
  <si>
    <t>1.2.4.5</t>
  </si>
  <si>
    <t>ED-51145</t>
  </si>
  <si>
    <t>PASSEIOS DE CONCRETO E = 6 CM, FCK = 10 MPA, JUNTA SECA</t>
  </si>
  <si>
    <t>1.2.4.6</t>
  </si>
  <si>
    <t>ED-9081</t>
  </si>
  <si>
    <t>REVESTIMENTO COM CERÂMICA APLICADO EM PAREDE, ACABAMENTO ESMALTADO, AMBIENTE INTERNO/EXTERNO, PADRÃO EXTRA, DIMENSÃO DA PEÇA ATÉ 2025 CM2, PEI III, ASSENTAMENTO COM ARGAMASSA INDUSTRIALIZADA, INCLUSIVE REJUNTAMENTO</t>
  </si>
  <si>
    <t>1.2.4.7</t>
  </si>
  <si>
    <t>ED-50997</t>
  </si>
  <si>
    <t>PEITORIL DE GRANITO, NA COR CINZA ANDORINHA, COM PINGADEIRA, ESP. 2CM, ACABAMENTO POLIDO, ASSENTAMENTO COM ARGAMASSA INDUSTRIALIZADA, INCLUSIVE REJUNTAMENTO</t>
  </si>
  <si>
    <t>1.2.5</t>
  </si>
  <si>
    <t>BANCADAS, LOUÇAS E METAIS</t>
  </si>
  <si>
    <t>1.2.5.1</t>
  </si>
  <si>
    <t>ED-6926</t>
  </si>
  <si>
    <t>BACIA SANITÁRIA (VASO) DE LOUÇA CONVENCIONAL ACESSÍVEL (PCR/PMR), COR BRANCA, INCLUSIVE ACESSÓRIOS DE FIXAÇÃO/VEDAÇÃO E REJUNTAMENTO, EXCLUSIVE ASSENTO, VÁLVULA DE DESCARGA E TUBO DE LIGAÇÃO</t>
  </si>
  <si>
    <t>1.2.5.2</t>
  </si>
  <si>
    <t>ED-50297</t>
  </si>
  <si>
    <t>BACIA SANITÁRIA (VASO) DE LOUÇA COM CAIXA ACOPLADA, COR BRANCA, INCLUSIVE ACESSÓRIOS DE FIXAÇÃO/VEDAÇÃO, ENGATE FLEXÍVEL METÁLICO E REJUNTAMENTO, EXCLUSIVE ASSENTO</t>
  </si>
  <si>
    <t>1.2.5.3</t>
  </si>
  <si>
    <t>ED-50279</t>
  </si>
  <si>
    <t>CUBA DE LOUÇA BRANCA DE EMBUTIR, FORMATO OVAL, INCLUSIVE VÁLVULA DE ESCOAMENTO DE METAL COM ACABAMENTO CROMADO, SIFÃO DE METAL TIPO COPO COM ACABAMENTO CROMADO</t>
  </si>
  <si>
    <t>1.2.5.4</t>
  </si>
  <si>
    <t>ED-2552</t>
  </si>
  <si>
    <t>LAVATÓRIO DE CANTO DE LOUÇA BRANCA SEM COLUNA, TAMANHO PEQUENO, INCLUSIVE ACESSÓRIOS DE FIXAÇÃO COM PARAFUSO CASTELO, VÁLVULA DE ESCOAMENTO DE METAL COM ACABAMENTO CROMADO, SIFÃO DE METAL TIPO COPO COM ACABAMENTO CROMADO, E REJUNTAMENTO, EXCLUSIVE TORNEIRA E ENGATE FLEXÍVEL</t>
  </si>
  <si>
    <t>1.2.5.5</t>
  </si>
  <si>
    <t>ED-21096</t>
  </si>
  <si>
    <t>BANCADA EM GRANITO, COR CINZA ANDORINHA, ESP. 3CM, ACABAMENTO POLIDO, APOIADA EM ALVENARIA, EXCLUSIVE ALVENARIA, RODABANCA/FRONTÃO, TESTEIRA/FAIXA, FURO EM BANCADA, CUBA METÁLICA, VÁLVULA, SIFÃO, TORNEIRA E ENGATE FLEXÍVEL</t>
  </si>
  <si>
    <t>1.2.5.6</t>
  </si>
  <si>
    <t>ED-48348</t>
  </si>
  <si>
    <t>m</t>
  </si>
  <si>
    <t>1.2.5.7</t>
  </si>
  <si>
    <t>ED-48167</t>
  </si>
  <si>
    <t>1.2.5.8</t>
  </si>
  <si>
    <t>ED-48163</t>
  </si>
  <si>
    <t>1.2.5.9</t>
  </si>
  <si>
    <t>ED-48161</t>
  </si>
  <si>
    <t>BARRA DE APOIO EM AÇO INOX POLIDO RETA, DIÂMETRO DE 1.1/4", PARA ACESSIBILIDADE (PMR/PCR), COMPRIMENTO 100CM, INSTALADO EM PAREDE, INCLUSIVE ACESSÓRIOS PARA FIXAÇÃO</t>
  </si>
  <si>
    <t>1.2.5.10</t>
  </si>
  <si>
    <t>ED-32114</t>
  </si>
  <si>
    <t>GUARDA-CORPO, ALTURA 100CM, EM TUBO GALVANIZADO, COM COSTURA, DIÂMETRO 2", ESP. 3MM, GRADIL COM PERFIL CANTONEIRA (1"X1/8") E TELA QUADRICULADA ONDULADA, COM MALHA DE 25,4MM (1"), FIO 10 (3,40MM), CONFORME CADERNO DE PROJETO PADRÃO PENITENCIÁRIA-MG (DETALHE D42B), EXCLUSIVE INSTALAÇÃO E PINTURA (FORNECIMENTO/FABRICAÇÃO)</t>
  </si>
  <si>
    <t>1.2.6</t>
  </si>
  <si>
    <t>ESQUADRIAS</t>
  </si>
  <si>
    <t>1.2.6.1</t>
  </si>
  <si>
    <t>ED-49604</t>
  </si>
  <si>
    <t>PORTA DE MADEIRA COMPLETA, DIMENSÃO (90X210)CM, TIPO DE ABRIR, UMA (1) FOLHA, ACABAMENTO NATURAL PARA PINTURA/VERNIZ, TIPO PRANCHETA/SARRAFEADA, COM PROTEÇÃO INFERIOR EM REVESTIMENTO DE LAMINADO MELAMÍNICO NAS DUAS (2) FACES, INCLUSIVE MARCO, ALIZAR E FERRAGENS, EXCLUSIVE PINTURA/VERNIZ</t>
  </si>
  <si>
    <t>1.2.6.2</t>
  </si>
  <si>
    <t>ED-49602</t>
  </si>
  <si>
    <t>1.2.6.3</t>
  </si>
  <si>
    <t>ED-50912</t>
  </si>
  <si>
    <t>JANELA PERFIL CANTONEIRA BASCULANTE 0,60 X 0,60 M, CONFORME DETALHE PADRÃO ESCOLAR 4/98 VERSÃO 2005</t>
  </si>
  <si>
    <t>U</t>
  </si>
  <si>
    <t>1.2.6.4</t>
  </si>
  <si>
    <t>ED-50958</t>
  </si>
  <si>
    <t>FORNECIMENTO DE JANELA DE CORRER EM METALON, INCLUSIVE ASSENTAMENTO, FERRAGENS E ACESSÓRIOS</t>
  </si>
  <si>
    <t>1.2.7</t>
  </si>
  <si>
    <t>PINTURA</t>
  </si>
  <si>
    <t>1.2.7.1</t>
  </si>
  <si>
    <t>ED-50451</t>
  </si>
  <si>
    <t>PINTURA ACRÍLICA EM PAREDE, DUAS (2) DEMÃOS, COM APLICAÇÃO MANUAL, EXCLUSIVE SELADOR ACRÍLICO E MASSA ACRÍLICA/CORRIDA (PVA)</t>
  </si>
  <si>
    <t>1.2.7.2</t>
  </si>
  <si>
    <t>ED-50493</t>
  </si>
  <si>
    <t>1.2.8</t>
  </si>
  <si>
    <t>COBERTURA</t>
  </si>
  <si>
    <t>1.2.8.1</t>
  </si>
  <si>
    <t>ED-28728</t>
  </si>
  <si>
    <t>1.2.8.2</t>
  </si>
  <si>
    <t>ED-48407</t>
  </si>
  <si>
    <t>ENGRADAMENTO EM MADEIRA PARAJU OU EQUIVALENTE, PARA TELHAS CERÂMICAS OU DE CONCRETO, EXCLUSIVE TELHAS</t>
  </si>
  <si>
    <t>1.2.8.3</t>
  </si>
  <si>
    <t>ED-48419</t>
  </si>
  <si>
    <t>COBERTURA EM TELHA CERÂMICA, TIPO FRANCESA, INCLUSIVE FIXAÇÃO, EXCLUSIVE ENGRADAMENTO E MANTA ISOLANTE/TÉRMICA</t>
  </si>
  <si>
    <t>REFORMA</t>
  </si>
  <si>
    <t>REMOÇÃO E DEMOLIÇÃO</t>
  </si>
  <si>
    <t>1.3.1.1</t>
  </si>
  <si>
    <t>ED-48467</t>
  </si>
  <si>
    <t>REMOÇÃO DE LOUÇAS (LAVATÓRIO, BANHEIRA, PIA, VASO SANITÁRIO, TANQUE), COM REAPROVEITAMENTO, INCLUSIVE AFASTAMENTO E EMPILHAMENTO, EXCLUSIVE TRANSPORTE E RETIRADA DO MATERIAL REMOVIDO NÃO REAPROVEITÁVEL</t>
  </si>
  <si>
    <t>1.3.1.2</t>
  </si>
  <si>
    <t>ED-48494</t>
  </si>
  <si>
    <t>REMOÇÃO MANUAL DE FOLHA DE PORTA OU JANELA DE MADEIRA OU METÁLICA, COM REAPROVEITAMENTO, INCLUSIVE AFASTAMENTO E EMPILHAMENTO, EXCLUSIVE TRANSPORTE E RETIRADA DO MATERIAL REMOVIDO NÃO REAPROVEITÁVEL</t>
  </si>
  <si>
    <t>1.3.1.3</t>
  </si>
  <si>
    <t>ED-48435</t>
  </si>
  <si>
    <t>DEMOLIÇÃO MANUAL DE ALVENARIA DE TIJOLO CERÂMICO OU BLOCO DE CONCRETO, INCLUSIVE AFASTAMENTO E EMPILHAMENTO, EXCLUSIVE TRANSPORTE E RETIRADA DO MATERIAL DEMOLIDO</t>
  </si>
  <si>
    <t>1.3.1.4</t>
  </si>
  <si>
    <t>ED-48479</t>
  </si>
  <si>
    <t>DEMOLIÇÃO MANUAL DE PISO CIMENTADO OU CONTRAPISO DE ARGAMASSA, COM ESPESSURA MÁXIMA DE 10CM, INCLUSIVE AFASTAMENTO E EMPILHAMENTO, EXCLUSIVE TRANSPORTE E RETIRADA DO MATERIAL DEMOLIDO</t>
  </si>
  <si>
    <t>ALVENARIA</t>
  </si>
  <si>
    <t>1.3.2.1</t>
  </si>
  <si>
    <t>ED-48209</t>
  </si>
  <si>
    <t>1.3.3.1</t>
  </si>
  <si>
    <t>1.3.4.1</t>
  </si>
  <si>
    <t>1.3.5.1</t>
  </si>
  <si>
    <t>ED-50483</t>
  </si>
  <si>
    <t>EMASSAMENTO EM PAREDE EM CHAPA DE GESSO ACARTONADO (DRYWALL) COM MASSA ACRÍLICA, UMA (1) DEMÃO, INCLUSIVE LIXAMENTO PARA PINTURA</t>
  </si>
  <si>
    <t>1.3.5.2</t>
  </si>
  <si>
    <t>1.3.5.3</t>
  </si>
  <si>
    <t>1.4</t>
  </si>
  <si>
    <t>SERVIÇO DE INSTALAÇÕES</t>
  </si>
  <si>
    <t>1.4.1</t>
  </si>
  <si>
    <t>INSTALAÇÕES ELÉTRICAS</t>
  </si>
  <si>
    <t>1.4.1.1</t>
  </si>
  <si>
    <t>ED-49187</t>
  </si>
  <si>
    <t>CAIXA DE LIGAÇÃO/PASSAGEM EM PVC RÍGIDO PARA ELETRODUTO, DIMENSÃO 4"X2", EMBUTIDA EM ALVENARIA, INCLUSIVE FIXAÇÃO</t>
  </si>
  <si>
    <t>1.4.1.2</t>
  </si>
  <si>
    <t>ED-49191</t>
  </si>
  <si>
    <t>CAIXA DE LIGAÇÃO/PASSAGEM EM PVC RÍGIDO PARA ELETRODUTO, OCTOGONAL COM ANEL DESLIZANTE, DIMENSÃO 3"X3", EMBUTIDA EM LAJE, INCLUSIVE FIXAÇÃO</t>
  </si>
  <si>
    <t>1.4.1.3</t>
  </si>
  <si>
    <t>ED-16634</t>
  </si>
  <si>
    <t>CAIXA DE LIGAÇÃO/PASSAGEM EM PVC RÍGIDO PARA ELETRODUTO, COM SUPORTE PARA LAJOTA, OCTOGONAL COM FUNDO MÓVEL, DIMENSÃO 4"X4", EMBUTIDA EM LAJE PRÉ-MOLDADA, INCLUSIVE FIXAÇÃO</t>
  </si>
  <si>
    <t>1.4.1.4</t>
  </si>
  <si>
    <t>ED-3021</t>
  </si>
  <si>
    <t>CONDULETE DE ALUMÍNIO, TIPO "B" OU "E", DIÂMETRO DE SAÍDA 1" (25MM), EXCLUSIVE INSTALAÇÃO, MÓDULO E PLACA (FORNECIMENTO)</t>
  </si>
  <si>
    <t>1.4.1.5</t>
  </si>
  <si>
    <t>MATED-18325</t>
  </si>
  <si>
    <t>ARRUELA LISA REDONDA (DIÂMETRO 6,8MM [1/4"]|ACABAMENTO: ZINCADO|PESO: 560UN/KG)*VALORES REFERENCIAIS APROXIMADOS</t>
  </si>
  <si>
    <t>1.4.1.6</t>
  </si>
  <si>
    <t>MATED-16368</t>
  </si>
  <si>
    <t>PARAFUSO (ROSCA: AUTOATARRAXANTE|APLICAÇÃO: MADEIRA|CABEÇA: FENDA|MATERIAL: AÇO|ACABAMENTO: ZINCADO|COMPRIMENTO: 16MM|DIÂMETRO: 2,9MM)</t>
  </si>
  <si>
    <t>1.4.1.7</t>
  </si>
  <si>
    <t>ED-48946</t>
  </si>
  <si>
    <t>CABO ISOLADO DE COBRE FLEXÍVEL, CLASSE 5, ISOLAMENTO TIPO LSHF/ATOX, NÃO HALOGENADO E ANTICHAMA, DIÂMETRO DA SEÇÃO DE 1,5MM2, TEMPERATURA DE TRABALHO 70°C, TENSÃO NOMINAL DE OPERAÇÃO 450/750V</t>
  </si>
  <si>
    <t>1.4.1.8</t>
  </si>
  <si>
    <t>ED-48966</t>
  </si>
  <si>
    <t>CABO ISOLADO DE COBRE FLEXÍVEL, CLASSE 5, ISOLAMENTO TIPO LSHF/ATOX, NÃO HALOGENADO E ANTICHAMA, DIÂMETRO DA SEÇÃO DE 10MM2, TEMPERATURA DE TRABALHO 70°C, TENSÃO NOMINAL DE OPERAÇÃO 450/750V</t>
  </si>
  <si>
    <t>1.4.1.9</t>
  </si>
  <si>
    <t>ED-48951</t>
  </si>
  <si>
    <t>CABO ISOLADO DE COBRE FLEXÍVEL, CLASSE 5, ISOLAMENTO TIPO LSHF/ATOX, NÃO HALOGENADO E ANTICHAMA, DIÂMETRO DA SEÇÃO DE 2,5MM2, TEMPERATURA DE TRABALHO 70°C, TENSÃO NOMINAL DE OPERAÇÃO 450/750V</t>
  </si>
  <si>
    <t>1.4.1.10</t>
  </si>
  <si>
    <t>ED-48961</t>
  </si>
  <si>
    <t>CABO ISOLADO DE COBRE FLEXÍVEL, CLASSE 5, ISOLAMENTO TIPO LSHF/ATOX, NÃO HALOGENADO E ANTICHAMA, DIÂMETRO DA SEÇÃO DE 6MM2, TEMPERATURA DE TRABALHO 70°C, TENSÃO NOMINAL DE OPERAÇÃO 450/750V</t>
  </si>
  <si>
    <t>1.4.1.11</t>
  </si>
  <si>
    <t>ED-15773</t>
  </si>
  <si>
    <t>CONJUNTO DE DOIS (2) INTERRUPTORES BIPOLAR SIMPLES, CORRENTE 10A, TENSÃO 250V, (10A-250V) E UMA (1) TOMADA PADRÃO, TRÊS (3) POLOS, CORRENTE 10A, TENSÃO 250V, (2P+T/10A-250V), COM PLACA 4"X2" DE TRÊS (3) POSTOS, INCLUSIVE FORNECIMENTO, INSTALAÇÃO, SUPORTE, MÓDULO E PLACA</t>
  </si>
  <si>
    <t>1.4.1.12</t>
  </si>
  <si>
    <t>ED-34460</t>
  </si>
  <si>
    <t>DISJUNTOR MONOPOLAR TIPO DIN, CORRENTE NOMINAL DE 10A, FORNECIMENTO E INSTALAÇÃO, INCLUSIVE TERMINAL ILHÓS</t>
  </si>
  <si>
    <t>1.4.1.13</t>
  </si>
  <si>
    <t>ED-34461</t>
  </si>
  <si>
    <t>DISJUNTOR MONOPOLAR TIPO DIN, CORRENTE NOMINAL DE 16A, FORNECIMENTO E INSTALAÇÃO, INCLUSIVE TERMINAL ILHÓS</t>
  </si>
  <si>
    <t>1.4.1.14</t>
  </si>
  <si>
    <t>ED-34474</t>
  </si>
  <si>
    <t>DISJUNTOR BIPOLAR TIPO DIN, CORRENTE NOMINAL DE 16A, FORNECIMENTO E INSTALAÇÃO, INCLUSIVE TERMINAL ILHÓS</t>
  </si>
  <si>
    <t>1.4.1.15</t>
  </si>
  <si>
    <t>ED-34476</t>
  </si>
  <si>
    <t>DISJUNTOR BIPOLAR TIPO DIN, CORRENTE NOMINAL DE 25A, FORNECIMENTO E INSTALAÇÃO, INCLUSIVE TERMINAL ILHÓS</t>
  </si>
  <si>
    <t>1.4.1.16</t>
  </si>
  <si>
    <t>1.4.1.17</t>
  </si>
  <si>
    <t>ED-34480</t>
  </si>
  <si>
    <t>DISJUNTOR BIPOLAR TIPO DIN, CORRENTE NOMINAL DE 63A, FORNECIMENTO E INSTALAÇÃO, INCLUSIVE TERMINAL ILHÓS</t>
  </si>
  <si>
    <t>1.4.1.18</t>
  </si>
  <si>
    <t>ED-16600</t>
  </si>
  <si>
    <t>DISPOSITIVO DE PROTEÇÃO CONTRA SURTOS (DPS) MONOPOLAR, CORRENTE DE INTERRUPÇÃO 20KA, INCLUSIVE TERMINAL ILHÓS</t>
  </si>
  <si>
    <t>1.4.1.19</t>
  </si>
  <si>
    <t>ED-15114</t>
  </si>
  <si>
    <t>DISJUNTOR DE PROTEÇÃO DIFERENCIAL RESIDUAL (DR), BIPOLAR TIPO DIN, CORRENTE NOMINAL DE 25A, SENSIBILIDADE DE 30MA, FORNECIMENTO E INSTALAÇÃO, INCLUSIVE TERMINAL ILHÓS</t>
  </si>
  <si>
    <t>1.4.1.20</t>
  </si>
  <si>
    <t>ED-15116</t>
  </si>
  <si>
    <t>DISJUNTOR DE PROTEÇÃO DIFERENCIAL RESIDUAL (DR), BIPOLAR TIPO DIN, CORRENTE NOMINAL DE 63A, SENSIBILIDADE DE 30MA, FORNECIMENTO E INSTALAÇÃO, INCLUSIVE TERMINAL ILHÓS</t>
  </si>
  <si>
    <t>1.4.1.21</t>
  </si>
  <si>
    <t>ED-26536</t>
  </si>
  <si>
    <t>ELETRODUTO DE PVC RÍGIDO ROSCÁVEL, DIÂMETRO DE 20MM (3/4"), INSTALAÇÃO APARENTE OU SOBRE FORRO COM ABRAÇADEIRA METÁLICA DE CUNHA, TIPO "D", INCLUSIVE ACESSÓRIOS PARA FIXAÇÃO E CONEXÕES</t>
  </si>
  <si>
    <t>1.4.1.22</t>
  </si>
  <si>
    <t>ED-26537</t>
  </si>
  <si>
    <t>ELETRODUTO DE PVC RÍGIDO ROSCÁVEL, DIÂMETRO DE 25MM (1"), INSTALAÇÃO APARENTE OU SOBRE FORRO COM ABRAÇADEIRA METÁLICA DE CUNHA, TIPO "D", INCLUSIVE ACESSÓRIOS PARA FIXAÇÃO E CONEXÕES</t>
  </si>
  <si>
    <t>1.4.1.23</t>
  </si>
  <si>
    <t>ED-49329</t>
  </si>
  <si>
    <t>ELETRODUTO DE AÇO GALVANIZADO PESADO, DIÂMETRO DE 40MM (1.1/2"), INSTALAÇÃO APARENTE OU SOBRE FORRO COM ABRAÇADEIRA METÁLICA DE CUNHA, TIPO "D", INCLUSIVE ACESSÓRIOS PARA FIXAÇÃO E CONEXÕES</t>
  </si>
  <si>
    <t>1.4.1.24</t>
  </si>
  <si>
    <t>ED-9554</t>
  </si>
  <si>
    <t>FIXAÇÃO DE TUBO/ELETRODUTO, INSTALAÇÃO APARENTE OU SOBRE FORRO, COM ABRAÇADEIRA METÁLICA DE CUNHA, TIPO D, PARA TUBO COM DIÂMETRO DE 3/4", ESPAÇAMENTO A CADA 200CM, INCLUSIVE BUCHA E PARAFUSO</t>
  </si>
  <si>
    <t>1.4.1.25</t>
  </si>
  <si>
    <t>ED-49317</t>
  </si>
  <si>
    <t>ELETRODUTO DE AÇO GALVANIZADO LEVE, DIÂMETRO DE 20MM (3/4"), INSTALAÇÃO APARENTE OU SOBRE FORRO COM ABRAÇADEIRA METÁLICA DE CUNHA, TIPO "D", INCLUSIVE ACESSÓRIOS PARA FIXAÇÃO E CONEXÕES</t>
  </si>
  <si>
    <t>1.4.1.26</t>
  </si>
  <si>
    <t>ED-49392</t>
  </si>
  <si>
    <t>LUMINÁRIA COMERCIAL CHANFRADA DE SOBREPOR, PARA DUAS (2) LÂMPADAS TUBULARES FLUORESCENTE 2X32W-ØT8 OU 2X40W-ØT10 OU LED 2X18W-ØT8, FORNECIMENTO E INSTALAÇÃO, EXCLUSIVE BASE, REATOR E LÂMPADAS</t>
  </si>
  <si>
    <t>1.4.1.27</t>
  </si>
  <si>
    <t>ED-14193</t>
  </si>
  <si>
    <t>QUADRO DE DISTRIBUIÇÃO DE EMBUTIR EM CHAPA, PARA 34 DISJUNTORES DIN, INCLUSIVE BARRAMENTOS NEUTRO/TERRA E BARRAMENTO TRIFÁSICO DE 100A</t>
  </si>
  <si>
    <t>1.4.1.28</t>
  </si>
  <si>
    <t>ED-20580</t>
  </si>
  <si>
    <t>ENTRADA DE ENERGIA AÉREA, TIPO B2, PADRÃO CEMIG, CARGA INSTALADA DE 10,1KW ATÉ 15KW, BIFÁSICO, COM SAÍDA SUBTERRÂNEA, INCLUSIVE POSTE, CAIXA PARA MEDIDOR, DISJUNTOR, BARRAMENTO, ATERRAMENTO E ACESSÓRIOS</t>
  </si>
  <si>
    <t>1.4.2</t>
  </si>
  <si>
    <t>INSTALAÇÕES SANITÁRIAS</t>
  </si>
  <si>
    <t>1.4.2.1</t>
  </si>
  <si>
    <t>ED-49871</t>
  </si>
  <si>
    <t>CAIXA DE ESGOTO DE INSPEÇÃO/PASSAGEM EM ALVENARIA (30X30X40CM), REVESTIMENTO EM ARGAMASSA COM ADITIVO IMPERMEABILIZANTE, COM TAMPA DE CONCRETO, INCLUSIVE ESCAVAÇÃO, REATERRO E TRANSPORTE COM RETIRADA DO MATERIAL ESCAVADO (EM CAÇAMBA)</t>
  </si>
  <si>
    <t>1.4.2.2</t>
  </si>
  <si>
    <t>ED-50007</t>
  </si>
  <si>
    <t>CAIXA SIFONADA EM PVC COM GRELHA QUADRADA150 X 150 X 50 MM</t>
  </si>
  <si>
    <t>1.4.2.3</t>
  </si>
  <si>
    <t>ED-49958</t>
  </si>
  <si>
    <t>RALO SECO PVC CÔNICO 100 X 40 MM COM GRELHA REDONDA</t>
  </si>
  <si>
    <t>1.4.2.4</t>
  </si>
  <si>
    <t>ED-50029</t>
  </si>
  <si>
    <t>FORNECIMENTO E ASSENTAMENTO DE TUBO PVC RÍGIDO, ESGOTO, PBV - SÉRIE NORMAL, DN 100 MM (4"), INCLUSIVE CONEXÕES</t>
  </si>
  <si>
    <t>1.4.2.5</t>
  </si>
  <si>
    <t>ED-50030</t>
  </si>
  <si>
    <t>FORNECIMENTO E ASSENTAMENTO DE TUBO PVC RÍGIDO, ESGOTO, PBV - SÉRIE NORMAL, DN 150 MM (6"), INCLUSIVE CONEXÕES</t>
  </si>
  <si>
    <t>1.4.2.6</t>
  </si>
  <si>
    <t>ED-50034</t>
  </si>
  <si>
    <t>FORNECIMENTO E ASSENTAMENTO DE TUBO PVC RÍGIDO, ESGOTO, PB - SÉRIE NORMAL, DN 40MM (1.1/2"), INCLUSIVE CONEXÕES</t>
  </si>
  <si>
    <t>1.4.2.7</t>
  </si>
  <si>
    <t>ED-50106</t>
  </si>
  <si>
    <t>FORNECIMENTO E ASSENTAMENTO DE TUBO PVC RÍGIDO, COLETOR DE ESGOTO LISO (JEI), DN 150 MM (6"), INCLUSIVE CONEXÕES</t>
  </si>
  <si>
    <t>1.4.2.8</t>
  </si>
  <si>
    <t>ED-48146</t>
  </si>
  <si>
    <t>FOSSA SÉPTICA PARA 1500 L/DIA, DE CONCRETO, INSTALADA (15 PESSOAS), INCLUSIVE BOTA FORA DE MATERIAL ESCAVADO</t>
  </si>
  <si>
    <t>1.4.2.9</t>
  </si>
  <si>
    <t>1.4.3</t>
  </si>
  <si>
    <t>INSTALAÇÕES HIDRÁULICAS</t>
  </si>
  <si>
    <t>1.4.3.1</t>
  </si>
  <si>
    <t>ED-50000</t>
  </si>
  <si>
    <t>REGISTRO DE ESFERA, TIPO PVC SOLDÁVEL DN 25MM (3/4"), INCLUSIVE VOLANTE PARA ACIONAMENTO</t>
  </si>
  <si>
    <t>1.4.3.2</t>
  </si>
  <si>
    <t>ED-49845</t>
  </si>
  <si>
    <t>ADAPTADOR SOLDÁVEL DE PVC MARROM COM FLANGES E ANEL PARA CAIXA DÁGUA Ø 25 MM X 3/4"</t>
  </si>
  <si>
    <t>1.4.3.3</t>
  </si>
  <si>
    <t>ED-49936</t>
  </si>
  <si>
    <t>CAIXA D'ÁGUA DE POLIETILENO, CAPACIDADE DE 1.000L, INCLUSIVE TAMPA, TORNEIRA DE BOIA, EXTRAVASOR, TUBO DE LIMPEZA E ACESSÓRIOS, EXCLUSIVE TUBULAÇÃO DE ENTRADA/SAÍDA DE ÁGUA</t>
  </si>
  <si>
    <t>1.4.3.4</t>
  </si>
  <si>
    <t>ED-50079</t>
  </si>
  <si>
    <t>FORNECIMENTO E ASSENTAMENTO DE TUBO PVC RÍGIDO ROSCÁVEL, ÁGUA FRIA, DN 3/4" (25 MM), INCLUSIVE CONEXÕES</t>
  </si>
  <si>
    <t>1.4.3.5</t>
  </si>
  <si>
    <t>ED-50003</t>
  </si>
  <si>
    <t>REGISTRO DE ESFERA, TIPO PVC SOLDÁVEL DN 50MM (1.1/2"), INCLUSIVE VOLANTE PARA ACIONAMENTO</t>
  </si>
  <si>
    <t>1.4.3.6</t>
  </si>
  <si>
    <t>1.4.3.7</t>
  </si>
  <si>
    <t>ED-50082</t>
  </si>
  <si>
    <t>FORNECIMENTO E ASSENTAMENTO DE TUBO PVC RÍGIDO ROSCÁVEL, ÁGUA FRIA, DN 1.1/2" (50 MM), INCLUSIVE CONEXÕES</t>
  </si>
  <si>
    <t>1.4.3.8</t>
  </si>
  <si>
    <t>1.4.3.9</t>
  </si>
  <si>
    <t>ED-16344</t>
  </si>
  <si>
    <t>1.4.3.10</t>
  </si>
  <si>
    <t>ED-50326</t>
  </si>
  <si>
    <t>TORNEIRA METÁLICA PARA PIA, ABERTURA 1/4 DE VOLTA, ACABAMENTO CROMADO, COM AREJADOR, APLICAÇÃO DE PAREDE</t>
  </si>
  <si>
    <t>1.4.3.11</t>
  </si>
  <si>
    <t>ED-49995</t>
  </si>
  <si>
    <t>REGISTRO DE GAVETA, TIPO BASE, ROSCÁVEL 1.1/2" (PARA TUBO SOLDÁVEL OU PPR DN 50MM/CPVC DN 42MM), INCLUSIVE ACABAMENTO (PADRÃO MÉDIO) E CANOPLA CROMADOS</t>
  </si>
  <si>
    <t>1.4.3.12</t>
  </si>
  <si>
    <t>ED-49990</t>
  </si>
  <si>
    <t>REGISTRO DE GAVETA, TIPO BASE, ROSCÁVEL 3/4" (PARA TUBO SOLDÁVEL OU PPR DN 25MM/CPVC DN 22MM), INCLUSIVE ACABAMENTO (PADRÃO POPULAR) E CANOPLA CROMADOS</t>
  </si>
  <si>
    <t>1.4.3.13</t>
  </si>
  <si>
    <t>1.4.3.14</t>
  </si>
  <si>
    <t>1.5</t>
  </si>
  <si>
    <t>1.5.1</t>
  </si>
  <si>
    <t>ED-50634</t>
  </si>
  <si>
    <t>PLACA DE ALUMÍNIO FUNDIDO, DIMENSÃO (60X40)CM, PARA INAUGURAÇÃO, INCLUSIVE FIXAÇÃO</t>
  </si>
  <si>
    <t>JANELAS</t>
  </si>
  <si>
    <t>13,10+13,10+3,8+3,8+3,44*4+2*2</t>
  </si>
  <si>
    <t>PINTURA  H=3,00M</t>
  </si>
  <si>
    <t>PINTURA H =60CM</t>
  </si>
  <si>
    <t>5,8+8,5+8,5+2,26+2,26+6,9+6,9+2,6+2,6+2,6+13,1</t>
  </si>
  <si>
    <t xml:space="preserve">PLANILHA ORÇAMENTÁRIA DE CUSTO </t>
  </si>
  <si>
    <t>COMUNIDADE DE MACAUBAS CURRAL, NO MUNICÍPIO DE OLHOS D'ÁGUA-MG</t>
  </si>
  <si>
    <t>REFORMA E AMPLIAÇÃO ESCOLA MACAUBA CURRAL NO MUNICÍCIPIO DE OLHOS D' ÁGUA-MG ELABORAÇÃO DE PLANILHA ORÇAMENTÁRIA, MEMÓRIA DE CÁLCULO, CRONOGRAMA FÍSICO-FINANCEIRO, PROJETO ARQUITETÔNICO, PROJETOS COMPLEMENTARES E DOCUMENTAÇÃO COMPLEMENTAR.</t>
  </si>
  <si>
    <r>
      <rPr>
        <b/>
        <sz val="12"/>
        <rFont val="Times New Roman"/>
        <family val="1"/>
      </rPr>
      <t>LOCAL:</t>
    </r>
    <r>
      <rPr>
        <sz val="12"/>
        <rFont val="Times New Roman"/>
        <family val="1"/>
      </rPr>
      <t xml:space="preserve"> COMUNIDADE DE MACAUBAS CURRAL, NO MUNICÍPIO DE OLHOS D'ÁGUA-MG</t>
    </r>
  </si>
  <si>
    <r>
      <rPr>
        <b/>
        <sz val="12"/>
        <rFont val="Times New Roman"/>
        <family val="1"/>
      </rPr>
      <t>OBRA:</t>
    </r>
    <r>
      <rPr>
        <sz val="12"/>
        <rFont val="Times New Roman"/>
        <family val="1"/>
      </rPr>
      <t xml:space="preserve"> REFORMA E AMPLIAÇÃO DA ESCOLA MUNICIPAL JOAQUIM PESSOA, NA COMUNIDADE MACAUBAS CURRAL NO MUNICÍPIO DE OLHOS D' ÁGUA-MG</t>
    </r>
  </si>
  <si>
    <t>REFORMA E AMPLIAÇÃO DA ESCOLA MUNICIPAL JOAQUIM PESSOA, NA COMUNIDADE MACAUBAS CURRAL NO MUNICÍPIO DE OLHOS D' ÁGUA-MG</t>
  </si>
  <si>
    <t>CRONOGRAMA FÍSICO-FINANCEIRO</t>
  </si>
  <si>
    <t>ETAPAS/DESCRIÇÃO</t>
  </si>
  <si>
    <t>FÍSICO/ FINANCEIRO</t>
  </si>
  <si>
    <t>TOTAL  ETAPAS</t>
  </si>
  <si>
    <t>PREVISÃO DE EXECUÇÃO DAS OBRAS: 4 MESES</t>
  </si>
  <si>
    <t>MÊS 1</t>
  </si>
  <si>
    <t>MÊS 2</t>
  </si>
  <si>
    <t>MÊS 3</t>
  </si>
  <si>
    <t>MÊS 4</t>
  </si>
  <si>
    <t>Físico %</t>
  </si>
  <si>
    <t>Financeiro</t>
  </si>
  <si>
    <t>RODRIGO VEIRA DE MATOS</t>
  </si>
  <si>
    <t>PREFEITO MUNICIPAL DE OLHOS D' ÁGUA -MG</t>
  </si>
  <si>
    <t>SERVIÇOS DE INSTALAÇÕES</t>
  </si>
  <si>
    <t xml:space="preserve">SERVIÇOS COMPLEMENTARES </t>
  </si>
  <si>
    <t xml:space="preserve">ÁREA DE AMPLIAÇÃO </t>
  </si>
  <si>
    <t>REATERRO</t>
  </si>
  <si>
    <t>1.2.8.4</t>
  </si>
  <si>
    <t>ED-50663</t>
  </si>
  <si>
    <t xml:space="preserve">	CALHA EM CHAPA GALVANIZADA, ESP. 0,5MM (GSG-26), COM DESENVOLVIMENTO DE 50CM, INCLUSIVE IÇAMENTO MANUAL VERTICAL</t>
  </si>
  <si>
    <t>M</t>
  </si>
  <si>
    <t xml:space="preserve"> </t>
  </si>
  <si>
    <t>MATERIAL DO ATERRO E TRANSPORTE DO ATERRO A CARGO DA PREFEITURA</t>
  </si>
  <si>
    <t>1.2.1.9</t>
  </si>
  <si>
    <t>COMP-01</t>
  </si>
  <si>
    <t>PRÓPRIA</t>
  </si>
  <si>
    <t xml:space="preserve">Á CARGO DA PREFEITURA </t>
  </si>
  <si>
    <t xml:space="preserve">MÊS </t>
  </si>
  <si>
    <t>Total (m2xmês)</t>
  </si>
  <si>
    <t>Comprimento Total (m)</t>
  </si>
  <si>
    <t xml:space="preserve">REMOÇÃO E DEMOLIÇÃO </t>
  </si>
  <si>
    <t xml:space="preserve">KÁREN MARIANA SOARES VIEIRA </t>
  </si>
  <si>
    <t>ENGENHEIRO CIVIL 332.425//D-MG</t>
  </si>
  <si>
    <t xml:space="preserve">RODRIGO VIEIRA DE MATOS </t>
  </si>
  <si>
    <t>PREFEITURA MUNICIPAL DE OLHOS D'ÁGUA</t>
  </si>
  <si>
    <r>
      <rPr>
        <b/>
        <sz val="12"/>
        <rFont val="Times New Roman"/>
        <family val="1"/>
      </rPr>
      <t>REGIÃO/MÊS DE REFERÊNCIA:</t>
    </r>
    <r>
      <rPr>
        <sz val="12"/>
        <rFont val="Times New Roman"/>
        <family val="1"/>
      </rPr>
      <t xml:space="preserve"> SETOP 01/2026 DES.</t>
    </r>
  </si>
  <si>
    <r>
      <t xml:space="preserve">OBRA: </t>
    </r>
    <r>
      <rPr>
        <sz val="12"/>
        <rFont val="Times New Roman"/>
        <family val="1"/>
      </rPr>
      <t>REFORMA E AMPLIAÇÃO DA ESCOLA MUNICIPAL JOAQUIM PESSOA, NA COMUNIDADE MACAUBAS CURRAL NO MUNICÍPIO DE OLHOS D' ÁGUA-MG</t>
    </r>
  </si>
  <si>
    <r>
      <rPr>
        <b/>
        <sz val="12"/>
        <rFont val="Times New Roman"/>
        <family val="1"/>
      </rPr>
      <t xml:space="preserve">LOCAL: </t>
    </r>
    <r>
      <rPr>
        <sz val="12"/>
        <rFont val="Times New Roman"/>
        <family val="1"/>
      </rPr>
      <t>COMUNIDADE DE MACAUBAS CURRAL, NO MUNICÍPIO DE OLHOS D'ÁGUA-MG</t>
    </r>
  </si>
  <si>
    <r>
      <rPr>
        <b/>
        <sz val="12"/>
        <rFont val="Times New Roman"/>
        <family val="1"/>
      </rPr>
      <t>RESPONSÁVEL TECNICO:</t>
    </r>
    <r>
      <rPr>
        <sz val="12"/>
        <rFont val="Times New Roman"/>
        <family val="1"/>
      </rPr>
      <t xml:space="preserve"> KÁREN MARIANA SOARES VIEIRA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</si>
</sst>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R\$\ #,##0.00"/>
    <numFmt numFmtId="165" formatCode="_(&quot;R$ &quot;* #,##0.00_);_(&quot;R$ &quot;* \(#,##0.00\);_(&quot;R$ &quot;* &quot;-&quot;??_);_(@_)"/>
    <numFmt numFmtId="166" formatCode="&quot;R$&quot;#,##0.00"/>
    <numFmt numFmtId="167" formatCode="&quot;R$&quot;\ #,##0.00"/>
  </numFmts>
  <fonts count="23" x14ac:knownFonts="1">
    <font>
      <sz val="11"/>
      <color theme="1"/>
      <name val="Aptos Narrow"/>
      <family val="2"/>
      <scheme val="minor"/>
    </font>
    <font>
      <sz val="11"/>
      <color theme="1"/>
      <name val="Aptos Narrow"/>
      <family val="2"/>
      <scheme val="minor"/>
    </font>
    <font>
      <sz val="9"/>
      <name val="Arial"/>
      <family val="2"/>
    </font>
    <font>
      <b/>
      <sz val="9"/>
      <name val="Arial"/>
      <family val="2"/>
    </font>
    <font>
      <sz val="11"/>
      <name val="Times New Roman"/>
      <family val="1"/>
    </font>
    <font>
      <sz val="10"/>
      <name val="Arial"/>
      <family val="2"/>
    </font>
    <font>
      <sz val="10"/>
      <name val="Times New Roman"/>
      <family val="1"/>
    </font>
    <font>
      <b/>
      <sz val="10"/>
      <name val="Times New Roman"/>
      <family val="1"/>
    </font>
    <font>
      <sz val="10"/>
      <color rgb="FF000000"/>
      <name val="Arial"/>
      <family val="2"/>
    </font>
    <font>
      <b/>
      <sz val="10"/>
      <name val="Arial"/>
      <family val="2"/>
    </font>
    <font>
      <sz val="8"/>
      <name val="Aptos Narrow"/>
      <family val="2"/>
      <scheme val="minor"/>
    </font>
    <font>
      <b/>
      <sz val="12"/>
      <name val="Times New Roman"/>
      <family val="1"/>
    </font>
    <font>
      <sz val="12"/>
      <name val="Times New Roman"/>
      <family val="1"/>
    </font>
    <font>
      <b/>
      <sz val="12"/>
      <color theme="0"/>
      <name val="Times New Roman"/>
      <family val="1"/>
    </font>
    <font>
      <b/>
      <sz val="12"/>
      <color rgb="FF000000"/>
      <name val="Times New Roman"/>
      <family val="1"/>
    </font>
    <font>
      <sz val="12"/>
      <color rgb="FF000000"/>
      <name val="Times New Roman"/>
      <family val="1"/>
    </font>
    <font>
      <b/>
      <sz val="14"/>
      <name val="Times New Roman"/>
      <family val="1"/>
    </font>
    <font>
      <b/>
      <sz val="14"/>
      <color theme="0"/>
      <name val="Times New Roman"/>
      <family val="1"/>
    </font>
    <font>
      <sz val="12"/>
      <color theme="1"/>
      <name val="Times New Roman"/>
      <family val="1"/>
    </font>
    <font>
      <sz val="12"/>
      <color rgb="FFFF0000"/>
      <name val="Times New Roman"/>
      <family val="1"/>
    </font>
    <font>
      <sz val="11"/>
      <color theme="1"/>
      <name val="Times New Roman"/>
      <family val="1"/>
    </font>
    <font>
      <b/>
      <sz val="16"/>
      <name val="Times New Roman"/>
      <family val="1"/>
    </font>
    <font>
      <sz val="12"/>
      <color theme="0"/>
      <name val="Times New Roman"/>
      <family val="1"/>
    </font>
  </fonts>
  <fills count="13">
    <fill>
      <patternFill patternType="none"/>
    </fill>
    <fill>
      <patternFill patternType="gray125"/>
    </fill>
    <fill>
      <patternFill patternType="none"/>
    </fill>
    <fill>
      <patternFill patternType="solid">
        <fgColor theme="2" tint="-0.499984740745262"/>
        <bgColor indexed="64"/>
      </patternFill>
    </fill>
    <fill>
      <patternFill patternType="solid">
        <fgColor theme="0"/>
        <bgColor indexed="64"/>
      </patternFill>
    </fill>
    <fill>
      <patternFill patternType="solid">
        <fgColor theme="8" tint="0.59999389629810485"/>
        <bgColor indexed="64"/>
      </patternFill>
    </fill>
    <fill>
      <patternFill patternType="solid">
        <fgColor rgb="FF008080"/>
        <bgColor indexed="64"/>
      </patternFill>
    </fill>
    <fill>
      <patternFill patternType="solid">
        <fgColor rgb="FFDAEEF3"/>
        <bgColor indexed="64"/>
      </patternFill>
    </fill>
    <fill>
      <patternFill patternType="solid">
        <fgColor rgb="FF006666"/>
        <bgColor indexed="64"/>
      </patternFill>
    </fill>
    <fill>
      <patternFill patternType="solid">
        <fgColor rgb="FF009592"/>
        <bgColor indexed="64"/>
      </patternFill>
    </fill>
    <fill>
      <patternFill patternType="solid">
        <fgColor indexed="9"/>
        <bgColor indexed="64"/>
      </patternFill>
    </fill>
    <fill>
      <patternFill patternType="solid">
        <fgColor rgb="FFDDFFFF"/>
        <bgColor indexed="64"/>
      </patternFill>
    </fill>
    <fill>
      <patternFill patternType="solid">
        <fgColor rgb="FF009999"/>
        <bgColor indexed="64"/>
      </patternFill>
    </fill>
  </fills>
  <borders count="45">
    <border>
      <left/>
      <right/>
      <top/>
      <bottom/>
      <diagonal/>
    </border>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s>
  <cellStyleXfs count="7">
    <xf numFmtId="0" fontId="0" fillId="0" borderId="0"/>
    <xf numFmtId="0" fontId="1" fillId="2" borderId="1"/>
    <xf numFmtId="0" fontId="5" fillId="2" borderId="1"/>
    <xf numFmtId="9" fontId="1" fillId="0" borderId="0" applyFont="0" applyFill="0" applyBorder="0" applyAlignment="0" applyProtection="0"/>
    <xf numFmtId="0" fontId="5" fillId="2" borderId="1"/>
    <xf numFmtId="9" fontId="5" fillId="2" borderId="1"/>
    <xf numFmtId="165" fontId="5" fillId="2" borderId="1" applyFont="0" applyFill="0" applyBorder="0" applyAlignment="0" applyProtection="0"/>
  </cellStyleXfs>
  <cellXfs count="269">
    <xf numFmtId="0" fontId="0" fillId="0" borderId="0" xfId="0"/>
    <xf numFmtId="0" fontId="2" fillId="0" borderId="0" xfId="0" applyFont="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3" borderId="0" xfId="0" applyFont="1" applyFill="1" applyAlignment="1">
      <alignment horizontal="left" vertical="center"/>
    </xf>
    <xf numFmtId="0" fontId="4" fillId="0" borderId="0" xfId="0" applyFont="1" applyAlignment="1">
      <alignment vertical="center"/>
    </xf>
    <xf numFmtId="0" fontId="3" fillId="0" borderId="0" xfId="0" applyFont="1" applyAlignment="1">
      <alignment vertical="center" wrapText="1"/>
    </xf>
    <xf numFmtId="0" fontId="3" fillId="0" borderId="8" xfId="0" applyFont="1" applyBorder="1" applyAlignment="1">
      <alignment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vertical="center" wrapText="1"/>
    </xf>
    <xf numFmtId="0" fontId="3" fillId="0" borderId="0" xfId="0" applyFont="1" applyAlignment="1">
      <alignment horizontal="center" vertical="center" wrapText="1"/>
    </xf>
    <xf numFmtId="0" fontId="3" fillId="0" borderId="6" xfId="0" applyFont="1" applyBorder="1" applyAlignment="1">
      <alignment vertical="center" wrapText="1"/>
    </xf>
    <xf numFmtId="0" fontId="3" fillId="0" borderId="11" xfId="0" applyFont="1" applyBorder="1" applyAlignment="1">
      <alignment vertical="center" wrapText="1"/>
    </xf>
    <xf numFmtId="0" fontId="3" fillId="0" borderId="4" xfId="0" applyFont="1" applyBorder="1" applyAlignment="1">
      <alignment vertical="center" wrapText="1"/>
    </xf>
    <xf numFmtId="0" fontId="3" fillId="0" borderId="0" xfId="0" applyFont="1" applyAlignment="1">
      <alignment horizontal="center" vertical="center"/>
    </xf>
    <xf numFmtId="0" fontId="2" fillId="3" borderId="0" xfId="0" applyFont="1" applyFill="1" applyAlignment="1">
      <alignment horizontal="left" vertical="center" wrapText="1"/>
    </xf>
    <xf numFmtId="0" fontId="7" fillId="2" borderId="8" xfId="2" applyFont="1" applyBorder="1" applyAlignment="1">
      <alignment horizontal="center" vertical="center" wrapText="1"/>
    </xf>
    <xf numFmtId="0" fontId="6" fillId="2" borderId="8" xfId="2" applyFont="1" applyBorder="1" applyAlignment="1">
      <alignment horizontal="left" vertical="center"/>
    </xf>
    <xf numFmtId="0" fontId="6" fillId="2" borderId="6" xfId="2" applyFont="1" applyBorder="1" applyAlignment="1">
      <alignment horizontal="left" vertical="center"/>
    </xf>
    <xf numFmtId="0" fontId="6" fillId="5" borderId="8" xfId="2" applyFont="1" applyFill="1" applyBorder="1" applyAlignment="1">
      <alignment horizontal="left" vertical="center"/>
    </xf>
    <xf numFmtId="0" fontId="8" fillId="0" borderId="0" xfId="0" applyFont="1" applyAlignment="1">
      <alignment horizontal="left" vertical="top"/>
    </xf>
    <xf numFmtId="0" fontId="5" fillId="0" borderId="0" xfId="0" applyFont="1"/>
    <xf numFmtId="0" fontId="9" fillId="0" borderId="5" xfId="0" applyFont="1" applyBorder="1" applyAlignment="1">
      <alignment horizontal="center" vertical="center" wrapText="1"/>
    </xf>
    <xf numFmtId="0" fontId="2" fillId="0" borderId="0" xfId="0" applyFont="1" applyAlignment="1">
      <alignment vertical="center"/>
    </xf>
    <xf numFmtId="0" fontId="3" fillId="0" borderId="1" xfId="0" applyFont="1" applyBorder="1" applyAlignment="1">
      <alignment vertical="center" wrapText="1"/>
    </xf>
    <xf numFmtId="0" fontId="2" fillId="0" borderId="0" xfId="0" applyFont="1" applyAlignment="1">
      <alignment horizontal="center" vertical="center"/>
    </xf>
    <xf numFmtId="0" fontId="2" fillId="3" borderId="8" xfId="0" applyFont="1" applyFill="1" applyBorder="1" applyAlignment="1">
      <alignment horizontal="left" vertical="center"/>
    </xf>
    <xf numFmtId="0" fontId="2" fillId="3" borderId="7" xfId="0" applyFont="1" applyFill="1" applyBorder="1" applyAlignment="1">
      <alignment horizontal="left" vertical="center"/>
    </xf>
    <xf numFmtId="0" fontId="2" fillId="0" borderId="7" xfId="0" applyFont="1" applyBorder="1" applyAlignment="1">
      <alignment horizontal="left" vertical="center"/>
    </xf>
    <xf numFmtId="0" fontId="3" fillId="0" borderId="8" xfId="0" applyFont="1" applyBorder="1" applyAlignment="1">
      <alignment horizontal="center" vertical="center" wrapText="1"/>
    </xf>
    <xf numFmtId="0" fontId="6" fillId="2" borderId="1" xfId="2" applyFont="1" applyBorder="1" applyAlignment="1">
      <alignment horizontal="left" vertical="center"/>
    </xf>
    <xf numFmtId="0" fontId="6" fillId="2" borderId="5" xfId="2" applyFont="1" applyBorder="1" applyAlignment="1">
      <alignment horizontal="left" vertical="center"/>
    </xf>
    <xf numFmtId="0" fontId="3" fillId="0" borderId="8" xfId="0" applyFont="1" applyBorder="1" applyAlignment="1">
      <alignment horizontal="center" vertical="center" wrapText="1"/>
    </xf>
    <xf numFmtId="0" fontId="2" fillId="0" borderId="5" xfId="0" applyFont="1" applyBorder="1" applyAlignment="1">
      <alignment horizontal="left" vertical="center"/>
    </xf>
    <xf numFmtId="0" fontId="2" fillId="0" borderId="6" xfId="0" applyFont="1" applyBorder="1" applyAlignment="1">
      <alignment horizontal="left" vertical="center"/>
    </xf>
    <xf numFmtId="0" fontId="3" fillId="0" borderId="3" xfId="0" applyFont="1" applyBorder="1" applyAlignment="1">
      <alignment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4" fontId="11" fillId="0" borderId="6" xfId="0" applyNumberFormat="1" applyFont="1" applyBorder="1" applyAlignment="1">
      <alignment horizontal="center" vertical="center"/>
    </xf>
    <xf numFmtId="10" fontId="11" fillId="4" borderId="6" xfId="0" applyNumberFormat="1" applyFont="1" applyFill="1" applyBorder="1" applyAlignment="1">
      <alignment horizontal="center" vertical="center"/>
    </xf>
    <xf numFmtId="164" fontId="13" fillId="6" borderId="21" xfId="0" applyNumberFormat="1" applyFont="1" applyFill="1" applyBorder="1" applyAlignment="1">
      <alignment horizontal="right" vertical="center" wrapText="1"/>
    </xf>
    <xf numFmtId="164" fontId="14" fillId="2" borderId="21" xfId="0" applyNumberFormat="1" applyFont="1" applyFill="1" applyBorder="1" applyAlignment="1">
      <alignment horizontal="right" vertical="center" wrapText="1"/>
    </xf>
    <xf numFmtId="0" fontId="15" fillId="2" borderId="21" xfId="0" applyFont="1" applyFill="1" applyBorder="1" applyAlignment="1">
      <alignment horizontal="left" vertical="center" wrapText="1"/>
    </xf>
    <xf numFmtId="0" fontId="15" fillId="2" borderId="21" xfId="0" applyFont="1" applyFill="1" applyBorder="1" applyAlignment="1">
      <alignment horizontal="center" vertical="center" wrapText="1"/>
    </xf>
    <xf numFmtId="4" fontId="15" fillId="2" borderId="21" xfId="0" applyNumberFormat="1" applyFont="1" applyFill="1" applyBorder="1" applyAlignment="1">
      <alignment horizontal="right" vertical="center" wrapText="1"/>
    </xf>
    <xf numFmtId="164" fontId="15" fillId="2" borderId="21" xfId="0" applyNumberFormat="1" applyFont="1" applyFill="1" applyBorder="1" applyAlignment="1">
      <alignment horizontal="right" vertical="center" wrapText="1"/>
    </xf>
    <xf numFmtId="4" fontId="0" fillId="0" borderId="0" xfId="0" applyNumberFormat="1"/>
    <xf numFmtId="0" fontId="11" fillId="0" borderId="20" xfId="0" applyFont="1" applyBorder="1" applyAlignment="1">
      <alignment horizontal="center" vertical="center"/>
    </xf>
    <xf numFmtId="10" fontId="13" fillId="6" borderId="20" xfId="3" applyNumberFormat="1" applyFont="1" applyFill="1" applyBorder="1" applyAlignment="1">
      <alignment horizontal="center" vertical="center"/>
    </xf>
    <xf numFmtId="164" fontId="13" fillId="6" borderId="28" xfId="0" applyNumberFormat="1" applyFont="1" applyFill="1" applyBorder="1" applyAlignment="1">
      <alignment horizontal="right" vertical="center" wrapText="1"/>
    </xf>
    <xf numFmtId="164" fontId="14" fillId="2" borderId="28" xfId="0" applyNumberFormat="1" applyFont="1" applyFill="1" applyBorder="1" applyAlignment="1">
      <alignment horizontal="right" vertical="center" wrapText="1"/>
    </xf>
    <xf numFmtId="164" fontId="15" fillId="2" borderId="28" xfId="0" applyNumberFormat="1" applyFont="1" applyFill="1" applyBorder="1" applyAlignment="1">
      <alignment horizontal="right" vertical="center" wrapText="1"/>
    </xf>
    <xf numFmtId="0" fontId="0" fillId="0" borderId="29" xfId="0" applyBorder="1"/>
    <xf numFmtId="0" fontId="0" fillId="0" borderId="1" xfId="0" applyBorder="1"/>
    <xf numFmtId="0" fontId="0" fillId="0" borderId="30" xfId="0" applyBorder="1"/>
    <xf numFmtId="10" fontId="18" fillId="0" borderId="6" xfId="3" applyNumberFormat="1" applyFont="1" applyBorder="1" applyAlignment="1">
      <alignment horizontal="center" vertical="center"/>
    </xf>
    <xf numFmtId="0" fontId="11" fillId="7" borderId="6" xfId="0" applyFont="1" applyFill="1" applyBorder="1" applyAlignment="1">
      <alignment horizontal="center" vertical="top"/>
    </xf>
    <xf numFmtId="0" fontId="11" fillId="7" borderId="6" xfId="0" applyFont="1" applyFill="1" applyBorder="1" applyAlignment="1">
      <alignment horizontal="center" vertical="top" wrapText="1"/>
    </xf>
    <xf numFmtId="0" fontId="11" fillId="7" borderId="6" xfId="0" applyFont="1" applyFill="1" applyBorder="1" applyAlignment="1">
      <alignment horizontal="center" vertical="center" wrapText="1"/>
    </xf>
    <xf numFmtId="0" fontId="12" fillId="0" borderId="6" xfId="0" applyFont="1" applyBorder="1" applyAlignment="1">
      <alignment vertical="center"/>
    </xf>
    <xf numFmtId="0" fontId="11" fillId="4" borderId="6" xfId="0" applyFont="1" applyFill="1" applyBorder="1" applyAlignment="1">
      <alignment horizontal="center" vertical="center" wrapText="1"/>
    </xf>
    <xf numFmtId="4" fontId="12" fillId="4" borderId="6" xfId="0" applyNumberFormat="1" applyFont="1" applyFill="1" applyBorder="1" applyAlignment="1">
      <alignment horizontal="center" vertical="center" wrapText="1"/>
    </xf>
    <xf numFmtId="4" fontId="12" fillId="0" borderId="6" xfId="0" applyNumberFormat="1" applyFont="1" applyBorder="1" applyAlignment="1">
      <alignment horizontal="center" vertical="center"/>
    </xf>
    <xf numFmtId="4" fontId="12" fillId="4" borderId="6" xfId="0" applyNumberFormat="1" applyFont="1" applyFill="1" applyBorder="1" applyAlignment="1">
      <alignment horizontal="center" vertical="center"/>
    </xf>
    <xf numFmtId="4" fontId="13" fillId="8" borderId="6" xfId="1" applyNumberFormat="1" applyFont="1" applyFill="1" applyBorder="1" applyAlignment="1">
      <alignment horizontal="center" vertical="center"/>
    </xf>
    <xf numFmtId="0" fontId="12" fillId="4" borderId="6" xfId="0" applyFont="1" applyFill="1" applyBorder="1" applyAlignment="1">
      <alignment horizontal="center" vertical="center" wrapText="1"/>
    </xf>
    <xf numFmtId="0" fontId="12" fillId="0" borderId="6" xfId="0" applyFont="1" applyBorder="1" applyAlignment="1">
      <alignment horizontal="center" vertical="center" wrapText="1"/>
    </xf>
    <xf numFmtId="2" fontId="12" fillId="0" borderId="6" xfId="0" applyNumberFormat="1" applyFont="1" applyBorder="1" applyAlignment="1">
      <alignment horizontal="center" vertical="center" wrapText="1"/>
    </xf>
    <xf numFmtId="0" fontId="12" fillId="4" borderId="6" xfId="0" applyFont="1" applyFill="1" applyBorder="1" applyAlignment="1">
      <alignment horizontal="center" vertical="center"/>
    </xf>
    <xf numFmtId="0" fontId="11" fillId="0" borderId="6" xfId="0" applyFont="1" applyBorder="1" applyAlignment="1">
      <alignment vertical="center" wrapText="1"/>
    </xf>
    <xf numFmtId="2" fontId="11" fillId="0" borderId="6" xfId="0" applyNumberFormat="1" applyFont="1" applyBorder="1" applyAlignment="1">
      <alignment horizontal="center" vertical="center" wrapText="1"/>
    </xf>
    <xf numFmtId="2" fontId="13" fillId="8" borderId="6" xfId="0" applyNumberFormat="1" applyFont="1" applyFill="1" applyBorder="1" applyAlignment="1">
      <alignment horizontal="center" vertical="center" shrinkToFit="1"/>
    </xf>
    <xf numFmtId="2" fontId="12" fillId="4" borderId="6" xfId="0" applyNumberFormat="1" applyFont="1" applyFill="1" applyBorder="1" applyAlignment="1">
      <alignment horizontal="center" vertical="center"/>
    </xf>
    <xf numFmtId="2" fontId="12" fillId="0" borderId="6" xfId="0" applyNumberFormat="1" applyFont="1" applyBorder="1" applyAlignment="1">
      <alignment horizontal="center" vertical="center"/>
    </xf>
    <xf numFmtId="0" fontId="12" fillId="0" borderId="6" xfId="0" applyFont="1" applyBorder="1" applyAlignment="1">
      <alignment horizontal="center" vertical="center"/>
    </xf>
    <xf numFmtId="2" fontId="12" fillId="4" borderId="6" xfId="0" applyNumberFormat="1" applyFont="1" applyFill="1" applyBorder="1" applyAlignment="1">
      <alignment horizontal="center" vertical="center" wrapText="1"/>
    </xf>
    <xf numFmtId="2" fontId="12" fillId="2" borderId="6" xfId="2" applyNumberFormat="1" applyFont="1" applyBorder="1" applyAlignment="1">
      <alignment horizontal="center" vertical="center" wrapText="1"/>
    </xf>
    <xf numFmtId="0" fontId="12" fillId="2" borderId="6" xfId="2" applyFont="1" applyBorder="1" applyAlignment="1">
      <alignment horizontal="center" vertical="center" wrapText="1"/>
    </xf>
    <xf numFmtId="2" fontId="13" fillId="8" borderId="6" xfId="2" applyNumberFormat="1" applyFont="1" applyFill="1" applyBorder="1" applyAlignment="1">
      <alignment horizontal="center" vertical="center" shrinkToFit="1"/>
    </xf>
    <xf numFmtId="4" fontId="13" fillId="8" borderId="6" xfId="0" applyNumberFormat="1" applyFont="1" applyFill="1" applyBorder="1" applyAlignment="1">
      <alignment horizontal="center" vertical="center" shrinkToFit="1"/>
    </xf>
    <xf numFmtId="0" fontId="12" fillId="0" borderId="6" xfId="0" applyFont="1" applyFill="1" applyBorder="1" applyAlignment="1">
      <alignment horizontal="center" vertical="center" wrapText="1"/>
    </xf>
    <xf numFmtId="0" fontId="11" fillId="0" borderId="1" xfId="0" applyFont="1" applyBorder="1" applyAlignment="1">
      <alignment horizontal="center" vertical="center"/>
    </xf>
    <xf numFmtId="0" fontId="12" fillId="0" borderId="6" xfId="0" applyFont="1" applyBorder="1"/>
    <xf numFmtId="2" fontId="12" fillId="0" borderId="6" xfId="0" applyNumberFormat="1" applyFont="1" applyBorder="1" applyAlignment="1">
      <alignment horizontal="center"/>
    </xf>
    <xf numFmtId="0" fontId="11" fillId="0" borderId="9" xfId="0" applyFont="1" applyBorder="1" applyAlignment="1">
      <alignment vertical="center"/>
    </xf>
    <xf numFmtId="0" fontId="11" fillId="0" borderId="1" xfId="0" applyFont="1" applyBorder="1" applyAlignment="1">
      <alignment vertical="center"/>
    </xf>
    <xf numFmtId="0" fontId="12" fillId="0" borderId="10" xfId="0" applyFont="1" applyBorder="1" applyAlignment="1">
      <alignment vertical="center"/>
    </xf>
    <xf numFmtId="4" fontId="12" fillId="0" borderId="6" xfId="0" applyNumberFormat="1" applyFont="1" applyBorder="1" applyAlignment="1">
      <alignment horizontal="center" vertical="center" wrapText="1"/>
    </xf>
    <xf numFmtId="4" fontId="13" fillId="8" borderId="6" xfId="0" applyNumberFormat="1" applyFont="1" applyFill="1" applyBorder="1" applyAlignment="1">
      <alignment horizontal="center" vertical="center"/>
    </xf>
    <xf numFmtId="0" fontId="12" fillId="0" borderId="9" xfId="0" applyFont="1" applyBorder="1" applyAlignment="1">
      <alignment horizontal="left" vertical="center"/>
    </xf>
    <xf numFmtId="0" fontId="12" fillId="0" borderId="1" xfId="0" applyFont="1" applyBorder="1" applyAlignment="1">
      <alignment horizontal="center" vertical="center"/>
    </xf>
    <xf numFmtId="0" fontId="12" fillId="0" borderId="1" xfId="0" applyFont="1" applyBorder="1" applyAlignment="1">
      <alignment horizontal="left" vertical="center"/>
    </xf>
    <xf numFmtId="0" fontId="12" fillId="0" borderId="10" xfId="0" applyFont="1" applyBorder="1" applyAlignment="1">
      <alignment horizontal="left" vertical="center"/>
    </xf>
    <xf numFmtId="0" fontId="15" fillId="0" borderId="1" xfId="0" applyFont="1" applyBorder="1" applyAlignment="1">
      <alignment horizontal="left" vertical="top"/>
    </xf>
    <xf numFmtId="0" fontId="12" fillId="0" borderId="2" xfId="0" applyFont="1" applyBorder="1" applyAlignment="1">
      <alignment horizontal="left" vertical="center"/>
    </xf>
    <xf numFmtId="0" fontId="12" fillId="0" borderId="2" xfId="0" applyFont="1" applyBorder="1" applyAlignment="1">
      <alignment vertical="center"/>
    </xf>
    <xf numFmtId="0" fontId="12" fillId="0" borderId="12" xfId="0" applyFont="1" applyBorder="1" applyAlignment="1">
      <alignment horizontal="left" vertical="center"/>
    </xf>
    <xf numFmtId="0" fontId="11" fillId="0" borderId="2" xfId="0" applyFont="1" applyBorder="1" applyAlignment="1">
      <alignment horizontal="center" vertical="center"/>
    </xf>
    <xf numFmtId="0" fontId="12" fillId="0" borderId="2" xfId="0" applyFont="1" applyBorder="1" applyAlignment="1">
      <alignment horizontal="center" vertical="center"/>
    </xf>
    <xf numFmtId="0" fontId="12" fillId="0" borderId="13" xfId="0" applyFont="1" applyBorder="1" applyAlignment="1">
      <alignment horizontal="left" vertical="center"/>
    </xf>
    <xf numFmtId="0" fontId="13" fillId="6" borderId="21" xfId="0" applyFont="1" applyFill="1" applyBorder="1" applyAlignment="1">
      <alignment horizontal="center" vertical="center" wrapText="1"/>
    </xf>
    <xf numFmtId="0" fontId="13" fillId="6" borderId="28" xfId="0" applyFont="1" applyFill="1" applyBorder="1" applyAlignment="1">
      <alignment horizontal="center" vertical="center" wrapText="1"/>
    </xf>
    <xf numFmtId="0" fontId="13" fillId="6" borderId="27" xfId="0" applyFont="1" applyFill="1" applyBorder="1" applyAlignment="1">
      <alignment horizontal="center" vertical="center" wrapText="1"/>
    </xf>
    <xf numFmtId="0" fontId="11" fillId="0" borderId="6" xfId="0" applyFont="1" applyBorder="1" applyAlignment="1">
      <alignment horizontal="center" vertical="center"/>
    </xf>
    <xf numFmtId="0" fontId="12" fillId="0" borderId="6" xfId="0" applyFont="1" applyBorder="1" applyAlignment="1">
      <alignment horizontal="left" vertical="center"/>
    </xf>
    <xf numFmtId="0" fontId="11" fillId="2" borderId="6" xfId="2" applyFont="1" applyBorder="1" applyAlignment="1">
      <alignment horizontal="center" vertical="center" wrapText="1"/>
    </xf>
    <xf numFmtId="0" fontId="13" fillId="6" borderId="6" xfId="0" applyFont="1" applyFill="1" applyBorder="1" applyAlignment="1">
      <alignment horizontal="center" vertical="center"/>
    </xf>
    <xf numFmtId="0" fontId="11" fillId="0" borderId="6" xfId="0" applyFont="1" applyBorder="1" applyAlignment="1">
      <alignment horizontal="center" vertical="center" wrapText="1"/>
    </xf>
    <xf numFmtId="0" fontId="12" fillId="0" borderId="6" xfId="0" applyFont="1" applyBorder="1" applyAlignment="1">
      <alignment horizontal="left" vertical="center" wrapText="1"/>
    </xf>
    <xf numFmtId="0" fontId="13" fillId="6" borderId="6" xfId="0" applyFont="1" applyFill="1" applyBorder="1" applyAlignment="1">
      <alignment horizontal="center" vertical="center" wrapText="1"/>
    </xf>
    <xf numFmtId="0" fontId="14" fillId="2" borderId="27" xfId="0" applyFont="1" applyFill="1" applyBorder="1" applyAlignment="1">
      <alignment horizontal="center" vertical="center" wrapText="1"/>
    </xf>
    <xf numFmtId="0" fontId="15" fillId="2" borderId="27" xfId="0" applyFont="1" applyFill="1" applyBorder="1" applyAlignment="1">
      <alignment horizontal="center" vertical="center" wrapText="1"/>
    </xf>
    <xf numFmtId="0" fontId="16" fillId="0" borderId="22" xfId="0" applyFont="1" applyBorder="1" applyAlignment="1">
      <alignment horizontal="center" vertical="center"/>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12" fillId="2" borderId="19"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11" fillId="0" borderId="6" xfId="0" applyFont="1" applyBorder="1" applyAlignment="1">
      <alignment horizontal="center" vertical="center"/>
    </xf>
    <xf numFmtId="14" fontId="11" fillId="0" borderId="6" xfId="0" applyNumberFormat="1" applyFont="1" applyBorder="1" applyAlignment="1">
      <alignment horizontal="center" vertical="center"/>
    </xf>
    <xf numFmtId="14" fontId="11" fillId="0" borderId="20" xfId="0" applyNumberFormat="1" applyFont="1" applyBorder="1" applyAlignment="1">
      <alignment horizontal="center" vertical="center"/>
    </xf>
    <xf numFmtId="0" fontId="12" fillId="0" borderId="19" xfId="0" applyFont="1" applyBorder="1" applyAlignment="1">
      <alignment horizontal="left" vertical="center"/>
    </xf>
    <xf numFmtId="0" fontId="12" fillId="0" borderId="6" xfId="0" applyFont="1" applyBorder="1" applyAlignment="1">
      <alignment horizontal="left" vertical="center"/>
    </xf>
    <xf numFmtId="0" fontId="11" fillId="0" borderId="7"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25" xfId="0" applyFont="1" applyBorder="1" applyAlignment="1">
      <alignment horizontal="center" vertical="center" wrapText="1"/>
    </xf>
    <xf numFmtId="0" fontId="13" fillId="6" borderId="27" xfId="0" applyFont="1" applyFill="1" applyBorder="1" applyAlignment="1">
      <alignment horizontal="center" vertical="center" wrapText="1"/>
    </xf>
    <xf numFmtId="0" fontId="13" fillId="6" borderId="21" xfId="0" applyFont="1" applyFill="1" applyBorder="1" applyAlignment="1">
      <alignment horizontal="center" vertical="center" wrapText="1"/>
    </xf>
    <xf numFmtId="0" fontId="11" fillId="2" borderId="26" xfId="0" applyFont="1" applyFill="1" applyBorder="1" applyAlignment="1">
      <alignment horizontal="left" vertical="center"/>
    </xf>
    <xf numFmtId="0" fontId="12" fillId="2" borderId="8" xfId="0" applyFont="1" applyFill="1" applyBorder="1" applyAlignment="1">
      <alignment horizontal="left" vertical="center"/>
    </xf>
    <xf numFmtId="0" fontId="12" fillId="2" borderId="5" xfId="0" applyFont="1" applyFill="1" applyBorder="1" applyAlignment="1">
      <alignment horizontal="left" vertical="center"/>
    </xf>
    <xf numFmtId="0" fontId="11" fillId="0" borderId="8" xfId="0" applyFont="1" applyBorder="1" applyAlignment="1">
      <alignment horizontal="center" vertical="center" wrapText="1"/>
    </xf>
    <xf numFmtId="0" fontId="12" fillId="4" borderId="19" xfId="0" applyFont="1" applyFill="1" applyBorder="1" applyAlignment="1">
      <alignment horizontal="left" vertical="center" wrapText="1"/>
    </xf>
    <xf numFmtId="0" fontId="12" fillId="4" borderId="6" xfId="0" applyFont="1" applyFill="1" applyBorder="1" applyAlignment="1">
      <alignment horizontal="left" vertical="center" wrapText="1"/>
    </xf>
    <xf numFmtId="0" fontId="11" fillId="0" borderId="26" xfId="0" applyFont="1" applyBorder="1" applyAlignment="1">
      <alignment horizontal="center" vertical="center" wrapText="1"/>
    </xf>
    <xf numFmtId="0" fontId="13" fillId="6" borderId="28" xfId="0" applyFont="1" applyFill="1" applyBorder="1" applyAlignment="1">
      <alignment horizontal="center" vertical="center" wrapText="1"/>
    </xf>
    <xf numFmtId="0" fontId="13" fillId="6" borderId="21" xfId="0" applyFont="1" applyFill="1" applyBorder="1" applyAlignment="1">
      <alignment horizontal="left" vertical="center" wrapText="1"/>
    </xf>
    <xf numFmtId="0" fontId="14" fillId="2" borderId="21" xfId="0" applyFont="1" applyFill="1" applyBorder="1" applyAlignment="1">
      <alignment horizontal="left" vertical="center" wrapText="1"/>
    </xf>
    <xf numFmtId="0" fontId="12" fillId="7" borderId="6" xfId="0" applyFont="1" applyFill="1" applyBorder="1" applyAlignment="1">
      <alignment horizontal="left" vertical="center" wrapText="1"/>
    </xf>
    <xf numFmtId="0" fontId="11" fillId="0" borderId="6" xfId="0" applyFont="1" applyBorder="1" applyAlignment="1">
      <alignment horizontal="center" vertical="center" wrapText="1"/>
    </xf>
    <xf numFmtId="0" fontId="12" fillId="0" borderId="6" xfId="0" applyFont="1" applyBorder="1" applyAlignment="1">
      <alignment horizontal="left" vertical="center" wrapText="1"/>
    </xf>
    <xf numFmtId="0" fontId="12" fillId="2" borderId="6" xfId="2" applyFont="1" applyBorder="1" applyAlignment="1">
      <alignment horizontal="left" vertical="center" wrapText="1"/>
    </xf>
    <xf numFmtId="0" fontId="11" fillId="0" borderId="6" xfId="0" applyFont="1" applyBorder="1" applyAlignment="1">
      <alignment horizontal="right" vertical="center" wrapText="1"/>
    </xf>
    <xf numFmtId="0" fontId="11" fillId="0" borderId="4" xfId="0" applyFont="1" applyBorder="1" applyAlignment="1">
      <alignment horizontal="center" vertical="center" wrapText="1"/>
    </xf>
    <xf numFmtId="0" fontId="11" fillId="0" borderId="15" xfId="0" applyFont="1" applyBorder="1" applyAlignment="1">
      <alignment horizontal="center" vertical="center" wrapText="1"/>
    </xf>
    <xf numFmtId="0" fontId="13" fillId="6" borderId="6" xfId="0" applyFont="1" applyFill="1" applyBorder="1" applyAlignment="1">
      <alignment horizontal="center" vertical="center" wrapText="1"/>
    </xf>
    <xf numFmtId="0" fontId="12" fillId="7" borderId="6" xfId="0" applyFont="1" applyFill="1" applyBorder="1" applyAlignment="1">
      <alignment horizontal="left" vertical="top" wrapText="1"/>
    </xf>
    <xf numFmtId="0" fontId="12" fillId="4" borderId="6" xfId="0" applyFont="1" applyFill="1" applyBorder="1" applyAlignment="1">
      <alignment horizontal="left" vertical="center"/>
    </xf>
    <xf numFmtId="0" fontId="11" fillId="0" borderId="14" xfId="0" applyFont="1" applyBorder="1" applyAlignment="1">
      <alignment horizontal="center" vertical="center" wrapText="1"/>
    </xf>
    <xf numFmtId="0" fontId="11" fillId="2" borderId="6" xfId="2" applyFont="1" applyBorder="1" applyAlignment="1">
      <alignment horizontal="right" vertical="center" wrapText="1"/>
    </xf>
    <xf numFmtId="0" fontId="12" fillId="7" borderId="6" xfId="2" applyFont="1" applyFill="1" applyBorder="1" applyAlignment="1">
      <alignment horizontal="left" vertical="center" wrapText="1"/>
    </xf>
    <xf numFmtId="0" fontId="11" fillId="2" borderId="6" xfId="2" applyFont="1" applyBorder="1" applyAlignment="1">
      <alignment horizontal="center" vertical="center" wrapText="1"/>
    </xf>
    <xf numFmtId="0" fontId="12" fillId="2" borderId="6" xfId="2" applyFont="1" applyBorder="1" applyAlignment="1">
      <alignment vertical="center" wrapText="1"/>
    </xf>
    <xf numFmtId="0" fontId="11" fillId="2" borderId="4" xfId="2" applyFont="1" applyBorder="1" applyAlignment="1">
      <alignment horizontal="center" vertical="center" wrapText="1"/>
    </xf>
    <xf numFmtId="0" fontId="11" fillId="2" borderId="14" xfId="2" applyFont="1" applyBorder="1" applyAlignment="1">
      <alignment horizontal="center" vertical="center" wrapText="1"/>
    </xf>
    <xf numFmtId="0" fontId="11" fillId="2" borderId="15" xfId="2" applyFont="1" applyBorder="1" applyAlignment="1">
      <alignment horizontal="center" vertical="center" wrapText="1"/>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1" fillId="0" borderId="6" xfId="0" applyFont="1" applyBorder="1" applyAlignment="1">
      <alignment horizontal="right" vertical="center"/>
    </xf>
    <xf numFmtId="0" fontId="18" fillId="0" borderId="6" xfId="0" applyFont="1" applyBorder="1" applyAlignment="1">
      <alignment horizontal="center" vertical="center" wrapText="1"/>
    </xf>
    <xf numFmtId="0" fontId="18" fillId="0" borderId="6" xfId="0" applyFont="1" applyBorder="1" applyAlignment="1">
      <alignment horizontal="left" vertical="center" wrapText="1"/>
    </xf>
    <xf numFmtId="14" fontId="18" fillId="0" borderId="6" xfId="0" applyNumberFormat="1" applyFont="1" applyBorder="1" applyAlignment="1">
      <alignment horizontal="center" vertical="center"/>
    </xf>
    <xf numFmtId="0" fontId="18" fillId="0" borderId="6" xfId="0" applyFont="1" applyBorder="1" applyAlignment="1">
      <alignment horizontal="left" vertical="center"/>
    </xf>
    <xf numFmtId="0" fontId="18" fillId="0" borderId="6" xfId="0" applyFont="1" applyBorder="1" applyAlignment="1">
      <alignment horizontal="center" vertical="center"/>
    </xf>
    <xf numFmtId="0" fontId="13" fillId="6" borderId="6" xfId="0" applyFont="1" applyFill="1" applyBorder="1" applyAlignment="1">
      <alignment horizontal="center" vertical="center"/>
    </xf>
    <xf numFmtId="0" fontId="13" fillId="6" borderId="6" xfId="0" applyFont="1" applyFill="1" applyBorder="1" applyAlignment="1">
      <alignment horizontal="left" vertical="center" wrapText="1"/>
    </xf>
    <xf numFmtId="10" fontId="18" fillId="0" borderId="6" xfId="0" applyNumberFormat="1" applyFont="1" applyBorder="1" applyAlignment="1">
      <alignment horizontal="center" vertical="center"/>
    </xf>
    <xf numFmtId="0" fontId="11" fillId="4" borderId="6" xfId="0" applyFont="1" applyFill="1" applyBorder="1" applyAlignment="1">
      <alignment horizontal="right" vertical="center"/>
    </xf>
    <xf numFmtId="2" fontId="11" fillId="0" borderId="6" xfId="0" applyNumberFormat="1" applyFont="1" applyBorder="1" applyAlignment="1">
      <alignment horizontal="center" vertical="center" wrapText="1"/>
    </xf>
    <xf numFmtId="0" fontId="12" fillId="2" borderId="6" xfId="2" applyFont="1" applyBorder="1" applyAlignment="1">
      <alignment horizontal="center" vertical="center" wrapText="1"/>
    </xf>
    <xf numFmtId="0" fontId="12" fillId="0" borderId="6" xfId="0" applyFont="1" applyBorder="1" applyAlignment="1">
      <alignment vertical="center" wrapText="1"/>
    </xf>
    <xf numFmtId="0" fontId="12" fillId="7" borderId="6" xfId="0" applyFont="1" applyFill="1" applyBorder="1" applyAlignment="1">
      <alignment horizontal="left" vertical="center"/>
    </xf>
    <xf numFmtId="0" fontId="11" fillId="7" borderId="6" xfId="2" applyFont="1" applyFill="1" applyBorder="1" applyAlignment="1">
      <alignment horizontal="center" vertical="center" wrapText="1"/>
    </xf>
    <xf numFmtId="0" fontId="12" fillId="0" borderId="6" xfId="0" applyFont="1" applyBorder="1" applyAlignment="1">
      <alignment vertical="center"/>
    </xf>
    <xf numFmtId="0" fontId="12" fillId="0" borderId="6" xfId="0" applyFont="1" applyFill="1" applyBorder="1" applyAlignment="1">
      <alignment horizontal="center" vertical="top" wrapText="1"/>
    </xf>
    <xf numFmtId="164" fontId="19" fillId="2" borderId="38" xfId="0" applyNumberFormat="1" applyFont="1" applyFill="1" applyBorder="1" applyAlignment="1">
      <alignment horizontal="center" vertical="center" wrapText="1"/>
    </xf>
    <xf numFmtId="164" fontId="19" fillId="2" borderId="39" xfId="0" applyNumberFormat="1" applyFont="1" applyFill="1" applyBorder="1" applyAlignment="1">
      <alignment horizontal="center" vertical="center" wrapText="1"/>
    </xf>
    <xf numFmtId="164" fontId="19" fillId="2" borderId="40" xfId="0" applyNumberFormat="1" applyFont="1" applyFill="1" applyBorder="1" applyAlignment="1">
      <alignment horizontal="center" vertical="center" wrapText="1"/>
    </xf>
    <xf numFmtId="0" fontId="20" fillId="0" borderId="1" xfId="0" applyFont="1" applyBorder="1"/>
    <xf numFmtId="0" fontId="18" fillId="0" borderId="29" xfId="0" applyFont="1" applyBorder="1"/>
    <xf numFmtId="0" fontId="18" fillId="0" borderId="1" xfId="0" applyFont="1" applyBorder="1"/>
    <xf numFmtId="0" fontId="18" fillId="0" borderId="30" xfId="0" applyFont="1" applyBorder="1"/>
    <xf numFmtId="0" fontId="18" fillId="0" borderId="1" xfId="0" applyFont="1" applyBorder="1" applyAlignment="1">
      <alignment horizontal="center"/>
    </xf>
    <xf numFmtId="0" fontId="18" fillId="0" borderId="31" xfId="0" applyFont="1" applyBorder="1"/>
    <xf numFmtId="0" fontId="18" fillId="0" borderId="32" xfId="0" applyFont="1" applyBorder="1"/>
    <xf numFmtId="0" fontId="18" fillId="0" borderId="33" xfId="0" applyFont="1" applyBorder="1"/>
    <xf numFmtId="0" fontId="18" fillId="0" borderId="1" xfId="0" applyFont="1" applyBorder="1" applyAlignment="1">
      <alignment horizontal="center"/>
    </xf>
    <xf numFmtId="0" fontId="18" fillId="0" borderId="3" xfId="0" applyFont="1" applyBorder="1" applyAlignment="1">
      <alignment horizontal="center"/>
    </xf>
    <xf numFmtId="0" fontId="18" fillId="0" borderId="3" xfId="0" applyFont="1" applyBorder="1" applyAlignment="1">
      <alignment horizontal="center"/>
    </xf>
    <xf numFmtId="164" fontId="17" fillId="8" borderId="41" xfId="0" applyNumberFormat="1" applyFont="1" applyFill="1" applyBorder="1"/>
    <xf numFmtId="0" fontId="15" fillId="2" borderId="42" xfId="0" applyFont="1" applyFill="1" applyBorder="1" applyAlignment="1">
      <alignment horizontal="center" vertical="center" wrapText="1"/>
    </xf>
    <xf numFmtId="0" fontId="15" fillId="2" borderId="43" xfId="0" applyFont="1" applyFill="1" applyBorder="1" applyAlignment="1">
      <alignment horizontal="center" vertical="center" wrapText="1"/>
    </xf>
    <xf numFmtId="0" fontId="15" fillId="2" borderId="43" xfId="0" applyFont="1" applyFill="1" applyBorder="1" applyAlignment="1">
      <alignment horizontal="left" vertical="center" wrapText="1"/>
    </xf>
    <xf numFmtId="4" fontId="15" fillId="2" borderId="43" xfId="0" applyNumberFormat="1" applyFont="1" applyFill="1" applyBorder="1" applyAlignment="1">
      <alignment horizontal="right" vertical="center" wrapText="1"/>
    </xf>
    <xf numFmtId="164" fontId="15" fillId="2" borderId="43" xfId="0" applyNumberFormat="1" applyFont="1" applyFill="1" applyBorder="1" applyAlignment="1">
      <alignment horizontal="right" vertical="center" wrapText="1"/>
    </xf>
    <xf numFmtId="164" fontId="15" fillId="2" borderId="44" xfId="0" applyNumberFormat="1" applyFont="1" applyFill="1" applyBorder="1" applyAlignment="1">
      <alignment horizontal="right" vertical="center" wrapText="1"/>
    </xf>
    <xf numFmtId="0" fontId="21" fillId="0" borderId="16" xfId="0" applyFont="1" applyBorder="1" applyAlignment="1">
      <alignment horizontal="center" vertical="center"/>
    </xf>
    <xf numFmtId="0" fontId="21" fillId="0" borderId="17" xfId="0" applyFont="1" applyBorder="1" applyAlignment="1">
      <alignment horizontal="center" vertical="center"/>
    </xf>
    <xf numFmtId="0" fontId="21" fillId="0" borderId="34" xfId="0" applyFont="1" applyBorder="1" applyAlignment="1">
      <alignment horizontal="center" vertical="center"/>
    </xf>
    <xf numFmtId="0" fontId="21" fillId="0" borderId="18" xfId="0" applyFont="1" applyBorder="1" applyAlignment="1">
      <alignment horizontal="center" vertical="center"/>
    </xf>
    <xf numFmtId="0" fontId="21" fillId="0" borderId="19" xfId="0" applyFont="1" applyBorder="1" applyAlignment="1">
      <alignment horizontal="center" vertical="center"/>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20" xfId="0" applyFont="1" applyBorder="1" applyAlignment="1">
      <alignment horizontal="center" vertical="center"/>
    </xf>
    <xf numFmtId="0" fontId="11" fillId="2" borderId="26"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12" fillId="2" borderId="5" xfId="0" applyFont="1" applyFill="1" applyBorder="1" applyAlignment="1">
      <alignment horizontal="left" vertical="center" wrapText="1"/>
    </xf>
    <xf numFmtId="14" fontId="11" fillId="0" borderId="7" xfId="0" applyNumberFormat="1" applyFont="1" applyBorder="1" applyAlignment="1">
      <alignment horizontal="center" vertical="center"/>
    </xf>
    <xf numFmtId="14" fontId="11" fillId="0" borderId="25" xfId="0" applyNumberFormat="1" applyFont="1" applyBorder="1" applyAlignment="1">
      <alignment horizontal="center" vertical="center"/>
    </xf>
    <xf numFmtId="0" fontId="12" fillId="2" borderId="35"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13" xfId="0" applyFont="1" applyFill="1" applyBorder="1" applyAlignment="1">
      <alignment horizontal="left" vertical="center" wrapText="1"/>
    </xf>
    <xf numFmtId="0" fontId="12" fillId="2" borderId="26" xfId="0" applyFont="1" applyFill="1" applyBorder="1" applyAlignment="1">
      <alignment horizontal="left" vertical="center" wrapText="1"/>
    </xf>
    <xf numFmtId="0" fontId="11" fillId="0" borderId="3" xfId="0" applyFont="1" applyBorder="1" applyAlignment="1">
      <alignment horizontal="center" vertical="center" wrapText="1"/>
    </xf>
    <xf numFmtId="0" fontId="11" fillId="0" borderId="36" xfId="0" applyFont="1" applyBorder="1" applyAlignment="1">
      <alignment horizontal="center" vertical="center" wrapText="1"/>
    </xf>
    <xf numFmtId="0" fontId="12" fillId="2" borderId="26" xfId="0" applyFont="1" applyFill="1" applyBorder="1" applyAlignment="1">
      <alignment vertical="center" wrapText="1"/>
    </xf>
    <xf numFmtId="0" fontId="12" fillId="2" borderId="5" xfId="0" applyFont="1" applyFill="1" applyBorder="1" applyAlignment="1">
      <alignment vertical="center" wrapText="1"/>
    </xf>
    <xf numFmtId="10" fontId="13" fillId="9" borderId="6" xfId="3" applyNumberFormat="1" applyFont="1" applyFill="1" applyBorder="1" applyAlignment="1">
      <alignment horizontal="center" vertical="center"/>
    </xf>
    <xf numFmtId="0" fontId="11" fillId="0" borderId="2" xfId="0" applyFont="1" applyBorder="1" applyAlignment="1">
      <alignment horizontal="center" vertical="center" wrapText="1"/>
    </xf>
    <xf numFmtId="0" fontId="11" fillId="0" borderId="37" xfId="0" applyFont="1" applyBorder="1" applyAlignment="1">
      <alignment horizontal="center" vertical="center" wrapText="1"/>
    </xf>
    <xf numFmtId="0" fontId="12" fillId="4" borderId="26" xfId="0" applyFont="1" applyFill="1" applyBorder="1" applyAlignment="1">
      <alignment vertical="center" wrapText="1"/>
    </xf>
    <xf numFmtId="0" fontId="12" fillId="4" borderId="5" xfId="0" applyFont="1" applyFill="1" applyBorder="1" applyAlignment="1">
      <alignment vertical="center" wrapText="1"/>
    </xf>
    <xf numFmtId="0" fontId="11" fillId="0" borderId="19" xfId="0" applyFont="1" applyBorder="1" applyAlignment="1">
      <alignment horizontal="center" vertical="center" wrapText="1"/>
    </xf>
    <xf numFmtId="0" fontId="11" fillId="0" borderId="20" xfId="0" applyFont="1" applyBorder="1" applyAlignment="1">
      <alignment horizontal="center" vertical="center" wrapText="1"/>
    </xf>
    <xf numFmtId="0" fontId="22" fillId="6" borderId="19" xfId="2" applyFont="1" applyFill="1" applyBorder="1" applyAlignment="1">
      <alignment horizontal="center" vertical="center" wrapText="1"/>
    </xf>
    <xf numFmtId="0" fontId="13" fillId="6" borderId="6" xfId="2" applyFont="1" applyFill="1" applyBorder="1" applyAlignment="1">
      <alignment horizontal="center" vertical="center"/>
    </xf>
    <xf numFmtId="0" fontId="13" fillId="6" borderId="6" xfId="2" applyFont="1" applyFill="1" applyBorder="1" applyAlignment="1">
      <alignment horizontal="center" vertical="center" wrapText="1"/>
    </xf>
    <xf numFmtId="0" fontId="13" fillId="6" borderId="7" xfId="2" applyFont="1" applyFill="1" applyBorder="1" applyAlignment="1">
      <alignment horizontal="center" vertical="center" wrapText="1"/>
    </xf>
    <xf numFmtId="0" fontId="13" fillId="6" borderId="20" xfId="2" applyFont="1" applyFill="1" applyBorder="1" applyAlignment="1">
      <alignment horizontal="center" vertical="center" wrapText="1"/>
    </xf>
    <xf numFmtId="0" fontId="13" fillId="6" borderId="6" xfId="2" applyFont="1" applyFill="1" applyBorder="1" applyAlignment="1">
      <alignment horizontal="center" vertical="center"/>
    </xf>
    <xf numFmtId="0" fontId="13" fillId="6" borderId="20" xfId="2" applyFont="1" applyFill="1" applyBorder="1" applyAlignment="1">
      <alignment horizontal="center" vertical="center"/>
    </xf>
    <xf numFmtId="0" fontId="11" fillId="10" borderId="19" xfId="2" applyFont="1" applyFill="1" applyBorder="1" applyAlignment="1">
      <alignment horizontal="center" vertical="center" wrapText="1"/>
    </xf>
    <xf numFmtId="0" fontId="11" fillId="10" borderId="6" xfId="2" applyFont="1" applyFill="1" applyBorder="1" applyAlignment="1">
      <alignment horizontal="left" vertical="center" wrapText="1"/>
    </xf>
    <xf numFmtId="49" fontId="11" fillId="11" borderId="6" xfId="2" applyNumberFormat="1" applyFont="1" applyFill="1" applyBorder="1" applyAlignment="1">
      <alignment horizontal="center" vertical="center" wrapText="1"/>
    </xf>
    <xf numFmtId="10" fontId="11" fillId="11" borderId="6" xfId="2" applyNumberFormat="1" applyFont="1" applyFill="1" applyBorder="1" applyAlignment="1">
      <alignment horizontal="center" vertical="center" wrapText="1"/>
    </xf>
    <xf numFmtId="10" fontId="11" fillId="11" borderId="20" xfId="2" applyNumberFormat="1" applyFont="1" applyFill="1" applyBorder="1" applyAlignment="1">
      <alignment horizontal="center" vertical="center" wrapText="1"/>
    </xf>
    <xf numFmtId="49" fontId="12" fillId="10" borderId="6" xfId="2" applyNumberFormat="1" applyFont="1" applyFill="1" applyBorder="1" applyAlignment="1">
      <alignment horizontal="center" vertical="center" wrapText="1"/>
    </xf>
    <xf numFmtId="166" fontId="12" fillId="10" borderId="6" xfId="6" applyNumberFormat="1" applyFont="1" applyFill="1" applyBorder="1" applyAlignment="1">
      <alignment horizontal="center" vertical="center" wrapText="1"/>
    </xf>
    <xf numFmtId="166" fontId="12" fillId="10" borderId="20" xfId="6" applyNumberFormat="1" applyFont="1" applyFill="1" applyBorder="1" applyAlignment="1">
      <alignment horizontal="center" vertical="center" wrapText="1"/>
    </xf>
    <xf numFmtId="0" fontId="11" fillId="10" borderId="4" xfId="2" applyFont="1" applyFill="1" applyBorder="1" applyAlignment="1">
      <alignment horizontal="left" vertical="center" wrapText="1"/>
    </xf>
    <xf numFmtId="0" fontId="11" fillId="10" borderId="15" xfId="2" applyFont="1" applyFill="1" applyBorder="1" applyAlignment="1">
      <alignment horizontal="left" vertical="center" wrapText="1"/>
    </xf>
    <xf numFmtId="0" fontId="11" fillId="10" borderId="6" xfId="2" applyFont="1" applyFill="1" applyBorder="1" applyAlignment="1">
      <alignment horizontal="center" vertical="center" wrapText="1"/>
    </xf>
    <xf numFmtId="10" fontId="11" fillId="10" borderId="6" xfId="2" applyNumberFormat="1" applyFont="1" applyFill="1" applyBorder="1" applyAlignment="1">
      <alignment horizontal="center" vertical="center" wrapText="1"/>
    </xf>
    <xf numFmtId="10" fontId="11" fillId="10" borderId="20" xfId="2" applyNumberFormat="1" applyFont="1" applyFill="1" applyBorder="1" applyAlignment="1">
      <alignment horizontal="center" vertical="center" wrapText="1"/>
    </xf>
    <xf numFmtId="49" fontId="11" fillId="10" borderId="6" xfId="2" applyNumberFormat="1" applyFont="1" applyFill="1" applyBorder="1" applyAlignment="1">
      <alignment horizontal="center" vertical="center" wrapText="1"/>
    </xf>
    <xf numFmtId="166" fontId="13" fillId="12" borderId="6" xfId="2" applyNumberFormat="1" applyFont="1" applyFill="1" applyBorder="1" applyAlignment="1">
      <alignment horizontal="center" vertical="center" wrapText="1"/>
    </xf>
    <xf numFmtId="166" fontId="13" fillId="12" borderId="20" xfId="2" applyNumberFormat="1" applyFont="1" applyFill="1" applyBorder="1" applyAlignment="1">
      <alignment horizontal="center" vertical="center" wrapText="1"/>
    </xf>
    <xf numFmtId="0" fontId="11" fillId="10" borderId="29" xfId="2" applyFont="1" applyFill="1" applyBorder="1" applyAlignment="1">
      <alignment wrapText="1"/>
    </xf>
    <xf numFmtId="0" fontId="11" fillId="10" borderId="1" xfId="2" applyFont="1" applyFill="1" applyBorder="1" applyAlignment="1">
      <alignment wrapText="1"/>
    </xf>
    <xf numFmtId="0" fontId="11" fillId="10" borderId="30" xfId="2" applyFont="1" applyFill="1" applyBorder="1" applyAlignment="1">
      <alignment wrapText="1"/>
    </xf>
    <xf numFmtId="0" fontId="12" fillId="2" borderId="29" xfId="2" applyFont="1" applyBorder="1" applyAlignment="1">
      <alignment vertical="center"/>
    </xf>
    <xf numFmtId="0" fontId="12" fillId="2" borderId="1" xfId="2" applyFont="1" applyBorder="1" applyAlignment="1">
      <alignment vertical="center"/>
    </xf>
    <xf numFmtId="167" fontId="12" fillId="2" borderId="1" xfId="2" applyNumberFormat="1" applyFont="1" applyBorder="1" applyAlignment="1">
      <alignment vertical="center"/>
    </xf>
    <xf numFmtId="0" fontId="12" fillId="2" borderId="30" xfId="2" applyFont="1" applyBorder="1" applyAlignment="1">
      <alignment vertical="center"/>
    </xf>
    <xf numFmtId="0" fontId="12" fillId="2" borderId="2" xfId="2" applyFont="1" applyBorder="1" applyAlignment="1">
      <alignment horizontal="center" vertical="center"/>
    </xf>
    <xf numFmtId="0" fontId="12" fillId="2" borderId="2" xfId="2" applyFont="1" applyBorder="1" applyAlignment="1">
      <alignment vertical="center"/>
    </xf>
    <xf numFmtId="0" fontId="12" fillId="2" borderId="2" xfId="2" applyFont="1" applyBorder="1" applyAlignment="1">
      <alignment horizontal="center" vertical="center"/>
    </xf>
    <xf numFmtId="2" fontId="12" fillId="2" borderId="3" xfId="2" applyNumberFormat="1" applyFont="1" applyBorder="1" applyAlignment="1">
      <alignment horizontal="center" vertical="center"/>
    </xf>
    <xf numFmtId="2" fontId="18" fillId="0" borderId="1" xfId="0" applyNumberFormat="1" applyFont="1" applyBorder="1" applyAlignment="1">
      <alignment horizontal="center" wrapText="1"/>
    </xf>
    <xf numFmtId="2" fontId="12" fillId="2" borderId="1" xfId="2" applyNumberFormat="1" applyFont="1" applyBorder="1" applyAlignment="1">
      <alignment horizontal="center" vertical="top"/>
    </xf>
    <xf numFmtId="2" fontId="18" fillId="0" borderId="1" xfId="0" applyNumberFormat="1" applyFont="1" applyBorder="1" applyAlignment="1">
      <alignment horizontal="center" vertical="top" wrapText="1"/>
    </xf>
    <xf numFmtId="2" fontId="18" fillId="0" borderId="1" xfId="0" applyNumberFormat="1" applyFont="1" applyBorder="1" applyAlignment="1">
      <alignment wrapText="1"/>
    </xf>
    <xf numFmtId="2" fontId="18" fillId="0" borderId="1" xfId="0" applyNumberFormat="1" applyFont="1" applyBorder="1" applyAlignment="1">
      <alignment horizontal="center" wrapText="1"/>
    </xf>
    <xf numFmtId="0" fontId="12" fillId="2" borderId="31" xfId="2" applyFont="1" applyBorder="1" applyAlignment="1">
      <alignment vertical="center"/>
    </xf>
    <xf numFmtId="0" fontId="12" fillId="2" borderId="32" xfId="2" applyFont="1" applyBorder="1" applyAlignment="1">
      <alignment vertical="center"/>
    </xf>
    <xf numFmtId="0" fontId="12" fillId="2" borderId="33" xfId="2" applyFont="1" applyBorder="1" applyAlignment="1">
      <alignment vertical="center"/>
    </xf>
    <xf numFmtId="167" fontId="12" fillId="2" borderId="30" xfId="2" applyNumberFormat="1" applyFont="1" applyBorder="1" applyAlignment="1">
      <alignment vertical="center"/>
    </xf>
    <xf numFmtId="166" fontId="12" fillId="10" borderId="9" xfId="6" applyNumberFormat="1" applyFont="1" applyFill="1" applyBorder="1" applyAlignment="1">
      <alignment horizontal="center" vertical="center" wrapText="1"/>
    </xf>
  </cellXfs>
  <cellStyles count="7">
    <cellStyle name="Moeda 3 2" xfId="6" xr:uid="{D572A027-FD6C-4DBE-A0B6-244B7E3C9289}"/>
    <cellStyle name="Normal" xfId="0" builtinId="0"/>
    <cellStyle name="Normal 10" xfId="4" xr:uid="{44B4E8CC-F87D-45A0-8AAA-09A4C235288B}"/>
    <cellStyle name="Normal 2" xfId="1" xr:uid="{E565C183-209F-408D-9EF2-4183293E7EA3}"/>
    <cellStyle name="Normal 2 2" xfId="2" xr:uid="{FF257DB4-4E75-49E1-8912-B53C49416F8C}"/>
    <cellStyle name="Porcentagem" xfId="3" builtinId="5"/>
    <cellStyle name="Porcentagem 2 2" xfId="5" xr:uid="{C14867C9-1115-408E-ADB0-DA062D73F30B}"/>
  </cellStyles>
  <dxfs count="53">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s>
  <tableStyles count="0" defaultTableStyle="TableStyleMedium9" defaultPivotStyle="PivotStyleLight16"/>
  <colors>
    <mruColors>
      <color rgb="FF006666"/>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1000126</xdr:colOff>
      <xdr:row>0</xdr:row>
      <xdr:rowOff>85725</xdr:rowOff>
    </xdr:from>
    <xdr:to>
      <xdr:col>9</xdr:col>
      <xdr:colOff>1162050</xdr:colOff>
      <xdr:row>0</xdr:row>
      <xdr:rowOff>514350</xdr:rowOff>
    </xdr:to>
    <xdr:pic>
      <xdr:nvPicPr>
        <xdr:cNvPr id="2" name="Imagem 1">
          <a:extLst>
            <a:ext uri="{FF2B5EF4-FFF2-40B4-BE49-F238E27FC236}">
              <a16:creationId xmlns:a16="http://schemas.microsoft.com/office/drawing/2014/main" id="{4830456E-C6C7-4CD3-9010-C06748A5DF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44251" y="85725"/>
          <a:ext cx="3562349" cy="428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361806</xdr:colOff>
      <xdr:row>0</xdr:row>
      <xdr:rowOff>154781</xdr:rowOff>
    </xdr:from>
    <xdr:to>
      <xdr:col>9</xdr:col>
      <xdr:colOff>2464593</xdr:colOff>
      <xdr:row>1</xdr:row>
      <xdr:rowOff>416718</xdr:rowOff>
    </xdr:to>
    <xdr:pic>
      <xdr:nvPicPr>
        <xdr:cNvPr id="2" name="Imagem 1">
          <a:extLst>
            <a:ext uri="{FF2B5EF4-FFF2-40B4-BE49-F238E27FC236}">
              <a16:creationId xmlns:a16="http://schemas.microsoft.com/office/drawing/2014/main" id="{A7163B96-B11C-4F49-B2A8-113D67E90C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1087" y="154781"/>
          <a:ext cx="7246287" cy="5238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2381250</xdr:colOff>
      <xdr:row>0</xdr:row>
      <xdr:rowOff>134712</xdr:rowOff>
    </xdr:from>
    <xdr:to>
      <xdr:col>7</xdr:col>
      <xdr:colOff>2222500</xdr:colOff>
      <xdr:row>1</xdr:row>
      <xdr:rowOff>359228</xdr:rowOff>
    </xdr:to>
    <xdr:pic>
      <xdr:nvPicPr>
        <xdr:cNvPr id="2" name="Imagem 1">
          <a:extLst>
            <a:ext uri="{FF2B5EF4-FFF2-40B4-BE49-F238E27FC236}">
              <a16:creationId xmlns:a16="http://schemas.microsoft.com/office/drawing/2014/main" id="{E8D33FC0-8837-4DCD-8BCD-73947C6D57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17875" y="134712"/>
          <a:ext cx="4857750" cy="68489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VLKENGEN\1-PROJETOS%20SETOR%20PUBLICO\03%20-%20OLHOS%20D'&#193;GUA\24%20-%20PROJETO%20DE%20CONSTRU&#199;&#195;O%20DE%20PASSAGEM%20MOLHADA%208,00x4,00x2,20m\03%20-%20PLANILHAS\PLANILHA%20PASSAGENS%20MOLHADAS.xlsx" TargetMode="External"/><Relationship Id="rId1" Type="http://schemas.openxmlformats.org/officeDocument/2006/relationships/externalLinkPath" Target="/VLKENGEN/1-PROJETOS%20SETOR%20PUBLICO/03%20-%20OLHOS%20D'&#193;GUA/24%20-%20PROJETO%20DE%20CONSTRU&#199;&#195;O%20DE%20PASSAGEM%20MOLHADA%208,00x4,00x2,20m/03%20-%20PLANILHAS/PLANILHA%20PASSAGENS%20MOLHADAS.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file:///\\Truenas\vlk\Users\kmari\OneDrive\&#193;rea%20de%20Trabalho\VLK%20Engenharia\2%20-%20PROJETOS%20SETOR%20PUBLICO\S&#195;O%20FRANCISCO%20-%20MG\PROJETO%2002%20-%20CONSTRU&#199;&#195;O%20DE%20PONTE%20DE%20CONCRETO%20ARMADO%20-%20COMUNIDADE%20DE%20TABOADO\PLANILHA\PLANILHA%20OR&#199;AMENT&#193;RIA.xlsx?5E16085E" TargetMode="External"/><Relationship Id="rId1" Type="http://schemas.openxmlformats.org/officeDocument/2006/relationships/externalLinkPath" Target="file:///\\5E16085E\PLANILHA%20OR&#199;AMENT&#193;R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LANILHA ORÇAMENTÁRIA "/>
      <sheetName val="MEMÓRIA DE CÁLCULO "/>
      <sheetName val="CRONOGRAMA "/>
      <sheetName val="BDI"/>
    </sheetNames>
    <sheetDataSet>
      <sheetData sheetId="0">
        <row r="7">
          <cell r="J7">
            <v>0.24660000000000001</v>
          </cell>
        </row>
        <row r="49">
          <cell r="C49" t="str">
            <v>ENGENHEIRA CIVIL 332.425/D-MG</v>
          </cell>
        </row>
      </sheetData>
      <sheetData sheetId="1">
        <row r="175">
          <cell r="C175" t="str">
            <v xml:space="preserve">KÁREN MARIANA SOARES VIEIRA </v>
          </cell>
        </row>
      </sheetData>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ilha Orcamentária"/>
      <sheetName val="MEMORIA DE CALCULO AUXILIAR"/>
      <sheetName val="Cronograma"/>
      <sheetName val="RESUMO DE AÇO"/>
    </sheetNames>
    <sheetDataSet>
      <sheetData sheetId="0" refreshError="1">
        <row r="4">
          <cell r="A4" t="str">
            <v xml:space="preserve">OBRA: </v>
          </cell>
        </row>
      </sheetData>
      <sheetData sheetId="1" refreshError="1"/>
      <sheetData sheetId="2" refreshError="1"/>
      <sheetData sheetId="3"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58D62-2EA0-4A95-B231-CBA1BC6AA73D}">
  <sheetPr>
    <pageSetUpPr fitToPage="1"/>
  </sheetPr>
  <dimension ref="A1:L151"/>
  <sheetViews>
    <sheetView tabSelected="1" view="pageBreakPreview" topLeftCell="A33" zoomScaleNormal="100" zoomScaleSheetLayoutView="100" workbookViewId="0">
      <selection activeCell="C8" sqref="C8:C9"/>
    </sheetView>
  </sheetViews>
  <sheetFormatPr defaultRowHeight="15" x14ac:dyDescent="0.25"/>
  <cols>
    <col min="1" max="1" width="13.5703125" customWidth="1"/>
    <col min="2" max="2" width="17" customWidth="1"/>
    <col min="3" max="3" width="70.5703125" customWidth="1"/>
    <col min="4" max="9" width="17" customWidth="1"/>
    <col min="10" max="10" width="20.140625" customWidth="1"/>
    <col min="12" max="12" width="10.140625" bestFit="1" customWidth="1"/>
  </cols>
  <sheetData>
    <row r="1" spans="1:12" ht="49.5" customHeight="1" x14ac:dyDescent="0.25">
      <c r="A1" s="113" t="s">
        <v>550</v>
      </c>
      <c r="B1" s="114"/>
      <c r="C1" s="114"/>
      <c r="D1" s="114"/>
      <c r="E1" s="114"/>
      <c r="F1" s="114"/>
      <c r="G1" s="114"/>
      <c r="H1" s="114"/>
      <c r="I1" s="114"/>
      <c r="J1" s="115"/>
    </row>
    <row r="2" spans="1:12" ht="33" customHeight="1" x14ac:dyDescent="0.25">
      <c r="A2" s="116" t="s">
        <v>554</v>
      </c>
      <c r="B2" s="117"/>
      <c r="C2" s="117"/>
      <c r="D2" s="117"/>
      <c r="E2" s="117"/>
      <c r="F2" s="117"/>
      <c r="G2" s="118" t="s">
        <v>215</v>
      </c>
      <c r="H2" s="118"/>
      <c r="I2" s="119">
        <f ca="1">TODAY()</f>
        <v>46161</v>
      </c>
      <c r="J2" s="120"/>
    </row>
    <row r="3" spans="1:12" ht="15.75" x14ac:dyDescent="0.25">
      <c r="A3" s="121" t="s">
        <v>553</v>
      </c>
      <c r="B3" s="122"/>
      <c r="C3" s="122"/>
      <c r="D3" s="122"/>
      <c r="E3" s="122"/>
      <c r="F3" s="122"/>
      <c r="G3" s="123" t="s">
        <v>216</v>
      </c>
      <c r="H3" s="124"/>
      <c r="I3" s="123"/>
      <c r="J3" s="125"/>
    </row>
    <row r="4" spans="1:12" ht="15.75" x14ac:dyDescent="0.25">
      <c r="A4" s="128" t="s">
        <v>233</v>
      </c>
      <c r="B4" s="129"/>
      <c r="C4" s="129"/>
      <c r="D4" s="129"/>
      <c r="E4" s="129"/>
      <c r="F4" s="130"/>
      <c r="G4" s="123" t="s">
        <v>217</v>
      </c>
      <c r="H4" s="131"/>
      <c r="I4" s="131"/>
      <c r="J4" s="125"/>
    </row>
    <row r="5" spans="1:12" ht="15.75" x14ac:dyDescent="0.25">
      <c r="A5" s="132" t="s">
        <v>591</v>
      </c>
      <c r="B5" s="133"/>
      <c r="C5" s="133"/>
      <c r="D5" s="133"/>
      <c r="E5" s="133"/>
      <c r="F5" s="133"/>
      <c r="G5" s="104" t="s">
        <v>218</v>
      </c>
      <c r="H5" s="39" t="s">
        <v>219</v>
      </c>
      <c r="I5" s="104" t="s">
        <v>220</v>
      </c>
      <c r="J5" s="48" t="s">
        <v>221</v>
      </c>
    </row>
    <row r="6" spans="1:12" ht="31.5" x14ac:dyDescent="0.25">
      <c r="A6" s="132" t="s">
        <v>222</v>
      </c>
      <c r="B6" s="133"/>
      <c r="C6" s="133"/>
      <c r="D6" s="133"/>
      <c r="E6" s="133"/>
      <c r="F6" s="133"/>
      <c r="G6" s="108" t="s">
        <v>223</v>
      </c>
      <c r="H6" s="40">
        <v>0.03</v>
      </c>
      <c r="I6" s="104" t="s">
        <v>86</v>
      </c>
      <c r="J6" s="49">
        <v>0.26490000000000002</v>
      </c>
    </row>
    <row r="7" spans="1:12" ht="15.75" x14ac:dyDescent="0.25">
      <c r="A7" s="134"/>
      <c r="B7" s="131"/>
      <c r="C7" s="131"/>
      <c r="D7" s="131"/>
      <c r="E7" s="131"/>
      <c r="F7" s="131"/>
      <c r="G7" s="131"/>
      <c r="H7" s="131"/>
      <c r="I7" s="131"/>
      <c r="J7" s="125"/>
    </row>
    <row r="8" spans="1:12" ht="15.75" x14ac:dyDescent="0.25">
      <c r="A8" s="126" t="s">
        <v>224</v>
      </c>
      <c r="B8" s="127" t="s">
        <v>225</v>
      </c>
      <c r="C8" s="127" t="s">
        <v>0</v>
      </c>
      <c r="D8" s="127" t="s">
        <v>226</v>
      </c>
      <c r="E8" s="127" t="s">
        <v>227</v>
      </c>
      <c r="F8" s="127" t="s">
        <v>228</v>
      </c>
      <c r="G8" s="127" t="s">
        <v>229</v>
      </c>
      <c r="H8" s="127"/>
      <c r="I8" s="127" t="s">
        <v>230</v>
      </c>
      <c r="J8" s="135"/>
    </row>
    <row r="9" spans="1:12" ht="15.75" x14ac:dyDescent="0.25">
      <c r="A9" s="126"/>
      <c r="B9" s="127"/>
      <c r="C9" s="127"/>
      <c r="D9" s="127"/>
      <c r="E9" s="127"/>
      <c r="F9" s="127"/>
      <c r="G9" s="101" t="s">
        <v>231</v>
      </c>
      <c r="H9" s="101" t="s">
        <v>232</v>
      </c>
      <c r="I9" s="101" t="s">
        <v>231</v>
      </c>
      <c r="J9" s="102" t="s">
        <v>232</v>
      </c>
    </row>
    <row r="10" spans="1:12" ht="15.75" x14ac:dyDescent="0.25">
      <c r="A10" s="103" t="s">
        <v>235</v>
      </c>
      <c r="B10" s="136" t="s">
        <v>236</v>
      </c>
      <c r="C10" s="136"/>
      <c r="D10" s="136"/>
      <c r="E10" s="136"/>
      <c r="F10" s="136"/>
      <c r="G10" s="136"/>
      <c r="H10" s="136"/>
      <c r="I10" s="41">
        <f>ROUND(SUM(I11+I13+I67+I83+I138),2)</f>
        <v>208382.06</v>
      </c>
      <c r="J10" s="50">
        <f>ROUND(SUM(J11+J13+J67+J83+J138),2)</f>
        <v>263575.52</v>
      </c>
    </row>
    <row r="11" spans="1:12" ht="15.75" x14ac:dyDescent="0.25">
      <c r="A11" s="111" t="s">
        <v>2</v>
      </c>
      <c r="B11" s="137" t="s">
        <v>1</v>
      </c>
      <c r="C11" s="137"/>
      <c r="D11" s="137"/>
      <c r="E11" s="137"/>
      <c r="F11" s="137"/>
      <c r="G11" s="137"/>
      <c r="H11" s="137"/>
      <c r="I11" s="42">
        <f>ROUND(SUM(I12),2)</f>
        <v>1187.0999999999999</v>
      </c>
      <c r="J11" s="51">
        <f>ROUND(SUM(J12),2)</f>
        <v>1501.56</v>
      </c>
    </row>
    <row r="12" spans="1:12" ht="94.5" x14ac:dyDescent="0.25">
      <c r="A12" s="112" t="s">
        <v>90</v>
      </c>
      <c r="B12" s="44" t="s">
        <v>237</v>
      </c>
      <c r="C12" s="43" t="s">
        <v>89</v>
      </c>
      <c r="D12" s="44" t="s">
        <v>238</v>
      </c>
      <c r="E12" s="44" t="s">
        <v>239</v>
      </c>
      <c r="F12" s="45">
        <f>'MEMÓRIA DE CALCULO'!I13</f>
        <v>1</v>
      </c>
      <c r="G12" s="46">
        <v>1187.0999999999999</v>
      </c>
      <c r="H12" s="46">
        <f>ROUND(SUM(G12*(1+$J$6)),2)</f>
        <v>1501.56</v>
      </c>
      <c r="I12" s="46">
        <f>ROUND(SUM(F12*G12),2)</f>
        <v>1187.0999999999999</v>
      </c>
      <c r="J12" s="52">
        <f>ROUND(SUM(F12*H12),2)</f>
        <v>1501.56</v>
      </c>
    </row>
    <row r="13" spans="1:12" ht="15.75" x14ac:dyDescent="0.25">
      <c r="A13" s="111" t="s">
        <v>205</v>
      </c>
      <c r="B13" s="137" t="s">
        <v>240</v>
      </c>
      <c r="C13" s="137"/>
      <c r="D13" s="137"/>
      <c r="E13" s="137"/>
      <c r="F13" s="137"/>
      <c r="G13" s="137"/>
      <c r="H13" s="137"/>
      <c r="I13" s="42">
        <f>ROUND(SUM(I24+I30+I35+I43+I54+I59+I62+I14),2)</f>
        <v>144451.45000000001</v>
      </c>
      <c r="J13" s="51">
        <f>ROUND(SUM(J24+J30+J35+J43+J54+J59+J62+J14),2)</f>
        <v>182711.99</v>
      </c>
    </row>
    <row r="14" spans="1:12" ht="15.75" x14ac:dyDescent="0.25">
      <c r="A14" s="111" t="s">
        <v>206</v>
      </c>
      <c r="B14" s="137" t="s">
        <v>241</v>
      </c>
      <c r="C14" s="137"/>
      <c r="D14" s="137"/>
      <c r="E14" s="137"/>
      <c r="F14" s="137"/>
      <c r="G14" s="137"/>
      <c r="H14" s="137"/>
      <c r="I14" s="42">
        <f>ROUND(SUM(I15:I23),2)</f>
        <v>30465.7</v>
      </c>
      <c r="J14" s="51">
        <f>ROUND(SUM(J15:J23),2)</f>
        <v>38532.06</v>
      </c>
    </row>
    <row r="15" spans="1:12" ht="47.25" x14ac:dyDescent="0.25">
      <c r="A15" s="112" t="s">
        <v>242</v>
      </c>
      <c r="B15" s="44" t="s">
        <v>243</v>
      </c>
      <c r="C15" s="43" t="s">
        <v>244</v>
      </c>
      <c r="D15" s="44" t="s">
        <v>238</v>
      </c>
      <c r="E15" s="44" t="s">
        <v>245</v>
      </c>
      <c r="F15" s="45">
        <f>'MEMÓRIA DE CALCULO'!I26</f>
        <v>33.840000000000003</v>
      </c>
      <c r="G15" s="46">
        <v>47.14</v>
      </c>
      <c r="H15" s="46">
        <f>ROUND(SUM(G15*(1+$J$6)),2)</f>
        <v>59.63</v>
      </c>
      <c r="I15" s="46">
        <f>ROUND(SUM(F15*G15),2)</f>
        <v>1595.22</v>
      </c>
      <c r="J15" s="52">
        <f>ROUND(SUM(F15*H15),2)</f>
        <v>2017.88</v>
      </c>
      <c r="L15" s="47"/>
    </row>
    <row r="16" spans="1:12" ht="31.5" x14ac:dyDescent="0.25">
      <c r="A16" s="112" t="s">
        <v>246</v>
      </c>
      <c r="B16" s="44" t="s">
        <v>247</v>
      </c>
      <c r="C16" s="43" t="s">
        <v>4</v>
      </c>
      <c r="D16" s="44" t="s">
        <v>238</v>
      </c>
      <c r="E16" s="44" t="s">
        <v>248</v>
      </c>
      <c r="F16" s="45">
        <f>'MEMÓRIA DE CALCULO'!I37</f>
        <v>53.93</v>
      </c>
      <c r="G16" s="46">
        <v>27.13</v>
      </c>
      <c r="H16" s="46">
        <f t="shared" ref="H16:H22" si="0">ROUND(SUM(G16*(1+$J$6)),2)</f>
        <v>34.32</v>
      </c>
      <c r="I16" s="46">
        <f t="shared" ref="I16:I22" si="1">ROUND(SUM(F16*G16),2)</f>
        <v>1463.12</v>
      </c>
      <c r="J16" s="52">
        <f t="shared" ref="J16:J22" si="2">ROUND(SUM(F16*H16),2)</f>
        <v>1850.88</v>
      </c>
    </row>
    <row r="17" spans="1:10" ht="31.5" x14ac:dyDescent="0.25">
      <c r="A17" s="112" t="s">
        <v>249</v>
      </c>
      <c r="B17" s="44" t="s">
        <v>250</v>
      </c>
      <c r="C17" s="43" t="s">
        <v>251</v>
      </c>
      <c r="D17" s="44" t="s">
        <v>238</v>
      </c>
      <c r="E17" s="44" t="s">
        <v>245</v>
      </c>
      <c r="F17" s="45">
        <f>'MEMÓRIA DE CALCULO'!I48</f>
        <v>2.7</v>
      </c>
      <c r="G17" s="46">
        <f>0.9*630.36</f>
        <v>567.32400000000007</v>
      </c>
      <c r="H17" s="46">
        <f t="shared" si="0"/>
        <v>717.61</v>
      </c>
      <c r="I17" s="46">
        <f t="shared" si="1"/>
        <v>1531.77</v>
      </c>
      <c r="J17" s="52">
        <f t="shared" si="2"/>
        <v>1937.55</v>
      </c>
    </row>
    <row r="18" spans="1:10" ht="31.5" x14ac:dyDescent="0.25">
      <c r="A18" s="112" t="s">
        <v>252</v>
      </c>
      <c r="B18" s="44" t="s">
        <v>253</v>
      </c>
      <c r="C18" s="43" t="s">
        <v>5</v>
      </c>
      <c r="D18" s="44" t="s">
        <v>238</v>
      </c>
      <c r="E18" s="44" t="s">
        <v>254</v>
      </c>
      <c r="F18" s="45">
        <f>'MEMÓRIA DE CALCULO'!I55</f>
        <v>858.5</v>
      </c>
      <c r="G18" s="46">
        <f>0.9*13.76</f>
        <v>12.384</v>
      </c>
      <c r="H18" s="46">
        <f t="shared" si="0"/>
        <v>15.66</v>
      </c>
      <c r="I18" s="46">
        <f t="shared" si="1"/>
        <v>10631.66</v>
      </c>
      <c r="J18" s="52">
        <f t="shared" si="2"/>
        <v>13444.11</v>
      </c>
    </row>
    <row r="19" spans="1:10" ht="31.5" x14ac:dyDescent="0.25">
      <c r="A19" s="112" t="s">
        <v>255</v>
      </c>
      <c r="B19" s="44" t="s">
        <v>256</v>
      </c>
      <c r="C19" s="43" t="s">
        <v>74</v>
      </c>
      <c r="D19" s="44" t="s">
        <v>238</v>
      </c>
      <c r="E19" s="44" t="s">
        <v>248</v>
      </c>
      <c r="F19" s="45">
        <f>'MEMÓRIA DE CALCULO'!I62</f>
        <v>50.5</v>
      </c>
      <c r="G19" s="46">
        <v>58.06</v>
      </c>
      <c r="H19" s="46">
        <f t="shared" si="0"/>
        <v>73.44</v>
      </c>
      <c r="I19" s="46">
        <f t="shared" si="1"/>
        <v>2932.03</v>
      </c>
      <c r="J19" s="52">
        <f t="shared" si="2"/>
        <v>3708.72</v>
      </c>
    </row>
    <row r="20" spans="1:10" ht="47.25" x14ac:dyDescent="0.25">
      <c r="A20" s="112" t="s">
        <v>257</v>
      </c>
      <c r="B20" s="44" t="s">
        <v>258</v>
      </c>
      <c r="C20" s="43" t="s">
        <v>259</v>
      </c>
      <c r="D20" s="44" t="s">
        <v>238</v>
      </c>
      <c r="E20" s="44" t="s">
        <v>245</v>
      </c>
      <c r="F20" s="45">
        <f>'MEMÓRIA DE CALCULO'!I69</f>
        <v>11.64</v>
      </c>
      <c r="G20" s="46">
        <f>0.9*593.18</f>
        <v>533.86199999999997</v>
      </c>
      <c r="H20" s="46">
        <f t="shared" si="0"/>
        <v>675.28</v>
      </c>
      <c r="I20" s="46">
        <f t="shared" si="1"/>
        <v>6214.15</v>
      </c>
      <c r="J20" s="52">
        <f t="shared" si="2"/>
        <v>7860.26</v>
      </c>
    </row>
    <row r="21" spans="1:10" ht="31.5" x14ac:dyDescent="0.25">
      <c r="A21" s="112" t="s">
        <v>260</v>
      </c>
      <c r="B21" s="44" t="s">
        <v>261</v>
      </c>
      <c r="C21" s="43" t="s">
        <v>262</v>
      </c>
      <c r="D21" s="44" t="s">
        <v>238</v>
      </c>
      <c r="E21" s="44" t="s">
        <v>248</v>
      </c>
      <c r="F21" s="45">
        <f>'MEMÓRIA DE CALCULO'!I74</f>
        <v>55.44</v>
      </c>
      <c r="G21" s="46">
        <v>33.71</v>
      </c>
      <c r="H21" s="46">
        <f t="shared" si="0"/>
        <v>42.64</v>
      </c>
      <c r="I21" s="46">
        <f t="shared" si="1"/>
        <v>1868.88</v>
      </c>
      <c r="J21" s="52">
        <f t="shared" si="2"/>
        <v>2363.96</v>
      </c>
    </row>
    <row r="22" spans="1:10" ht="31.5" x14ac:dyDescent="0.25">
      <c r="A22" s="112" t="s">
        <v>263</v>
      </c>
      <c r="B22" s="44" t="s">
        <v>264</v>
      </c>
      <c r="C22" s="43" t="s">
        <v>265</v>
      </c>
      <c r="D22" s="44" t="s">
        <v>238</v>
      </c>
      <c r="E22" s="44" t="s">
        <v>245</v>
      </c>
      <c r="F22" s="45">
        <f>'MEMÓRIA DE CALCULO'!I80</f>
        <v>84.9</v>
      </c>
      <c r="G22" s="46">
        <v>49.81</v>
      </c>
      <c r="H22" s="46">
        <f t="shared" si="0"/>
        <v>63</v>
      </c>
      <c r="I22" s="46">
        <f t="shared" si="1"/>
        <v>4228.87</v>
      </c>
      <c r="J22" s="52">
        <f t="shared" si="2"/>
        <v>5348.7</v>
      </c>
    </row>
    <row r="23" spans="1:10" ht="31.5" x14ac:dyDescent="0.25">
      <c r="A23" s="112" t="s">
        <v>579</v>
      </c>
      <c r="B23" s="44" t="s">
        <v>580</v>
      </c>
      <c r="C23" s="43" t="s">
        <v>578</v>
      </c>
      <c r="D23" s="44" t="s">
        <v>581</v>
      </c>
      <c r="E23" s="44" t="s">
        <v>245</v>
      </c>
      <c r="F23" s="45">
        <f>'MEMÓRIA DE CALCULO'!I85</f>
        <v>65.400000000000006</v>
      </c>
      <c r="G23" s="176" t="s">
        <v>582</v>
      </c>
      <c r="H23" s="177"/>
      <c r="I23" s="177"/>
      <c r="J23" s="178"/>
    </row>
    <row r="24" spans="1:10" ht="15.75" x14ac:dyDescent="0.25">
      <c r="A24" s="111" t="s">
        <v>208</v>
      </c>
      <c r="B24" s="137" t="s">
        <v>266</v>
      </c>
      <c r="C24" s="137"/>
      <c r="D24" s="137"/>
      <c r="E24" s="137"/>
      <c r="F24" s="137"/>
      <c r="G24" s="137"/>
      <c r="H24" s="137"/>
      <c r="I24" s="42">
        <f>ROUND(SUM(I25:I29),2)</f>
        <v>14170.26</v>
      </c>
      <c r="J24" s="51">
        <f>ROUND(SUM(J25:J29),2)</f>
        <v>17922.04</v>
      </c>
    </row>
    <row r="25" spans="1:10" ht="31.5" x14ac:dyDescent="0.25">
      <c r="A25" s="112" t="s">
        <v>267</v>
      </c>
      <c r="B25" s="44" t="s">
        <v>253</v>
      </c>
      <c r="C25" s="43" t="s">
        <v>5</v>
      </c>
      <c r="D25" s="44" t="s">
        <v>238</v>
      </c>
      <c r="E25" s="44" t="s">
        <v>254</v>
      </c>
      <c r="F25" s="45">
        <f>'MEMÓRIA DE CALCULO'!I91</f>
        <v>445.6</v>
      </c>
      <c r="G25" s="46">
        <f>G18</f>
        <v>12.384</v>
      </c>
      <c r="H25" s="46">
        <f>ROUND(SUM(G25*(1+$J$6)),2)</f>
        <v>15.66</v>
      </c>
      <c r="I25" s="46">
        <f>ROUND(SUM(F25*G25),2)</f>
        <v>5518.31</v>
      </c>
      <c r="J25" s="52">
        <f>ROUND(SUM(F25*H25),2)</f>
        <v>6978.1</v>
      </c>
    </row>
    <row r="26" spans="1:10" ht="31.5" x14ac:dyDescent="0.25">
      <c r="A26" s="112" t="s">
        <v>268</v>
      </c>
      <c r="B26" s="44" t="s">
        <v>256</v>
      </c>
      <c r="C26" s="43" t="s">
        <v>74</v>
      </c>
      <c r="D26" s="44" t="s">
        <v>238</v>
      </c>
      <c r="E26" s="44" t="s">
        <v>248</v>
      </c>
      <c r="F26" s="45">
        <f>'MEMÓRIA DE CALCULO'!I96</f>
        <v>33.58</v>
      </c>
      <c r="G26" s="46">
        <v>58.06</v>
      </c>
      <c r="H26" s="46">
        <f t="shared" ref="H26:H29" si="3">ROUND(SUM(G26*(1+$J$6)),2)</f>
        <v>73.44</v>
      </c>
      <c r="I26" s="46">
        <f t="shared" ref="I26:I29" si="4">ROUND(SUM(F26*G26),2)</f>
        <v>1949.65</v>
      </c>
      <c r="J26" s="52">
        <f t="shared" ref="J26:J29" si="5">ROUND(SUM(F26*H26),2)</f>
        <v>2466.12</v>
      </c>
    </row>
    <row r="27" spans="1:10" ht="47.25" x14ac:dyDescent="0.25">
      <c r="A27" s="112" t="s">
        <v>269</v>
      </c>
      <c r="B27" s="44" t="s">
        <v>270</v>
      </c>
      <c r="C27" s="43" t="s">
        <v>271</v>
      </c>
      <c r="D27" s="44" t="s">
        <v>238</v>
      </c>
      <c r="E27" s="44" t="s">
        <v>245</v>
      </c>
      <c r="F27" s="45">
        <f>'MEMÓRIA DE CALCULO'!I101</f>
        <v>6.35</v>
      </c>
      <c r="G27" s="46">
        <f>0.9*853.68</f>
        <v>768.31200000000001</v>
      </c>
      <c r="H27" s="46">
        <f t="shared" si="3"/>
        <v>971.84</v>
      </c>
      <c r="I27" s="46">
        <f t="shared" si="4"/>
        <v>4878.78</v>
      </c>
      <c r="J27" s="52">
        <f t="shared" si="5"/>
        <v>6171.18</v>
      </c>
    </row>
    <row r="28" spans="1:10" ht="63" x14ac:dyDescent="0.25">
      <c r="A28" s="112" t="s">
        <v>272</v>
      </c>
      <c r="B28" s="44" t="s">
        <v>273</v>
      </c>
      <c r="C28" s="43" t="s">
        <v>7</v>
      </c>
      <c r="D28" s="44" t="s">
        <v>238</v>
      </c>
      <c r="E28" s="44" t="s">
        <v>274</v>
      </c>
      <c r="F28" s="45">
        <f>'MEMÓRIA DE CALCULO'!I111</f>
        <v>12</v>
      </c>
      <c r="G28" s="46">
        <v>23.55</v>
      </c>
      <c r="H28" s="46">
        <f t="shared" si="3"/>
        <v>29.79</v>
      </c>
      <c r="I28" s="46">
        <f t="shared" si="4"/>
        <v>282.60000000000002</v>
      </c>
      <c r="J28" s="52">
        <f t="shared" si="5"/>
        <v>357.48</v>
      </c>
    </row>
    <row r="29" spans="1:10" ht="94.5" x14ac:dyDescent="0.25">
      <c r="A29" s="112" t="s">
        <v>275</v>
      </c>
      <c r="B29" s="44" t="s">
        <v>276</v>
      </c>
      <c r="C29" s="43" t="s">
        <v>277</v>
      </c>
      <c r="D29" s="44" t="s">
        <v>238</v>
      </c>
      <c r="E29" s="44" t="s">
        <v>248</v>
      </c>
      <c r="F29" s="45">
        <f>'MEMÓRIA DE CALCULO'!I106</f>
        <v>12</v>
      </c>
      <c r="G29" s="46">
        <v>128.41</v>
      </c>
      <c r="H29" s="46">
        <f t="shared" si="3"/>
        <v>162.43</v>
      </c>
      <c r="I29" s="46">
        <f t="shared" si="4"/>
        <v>1540.92</v>
      </c>
      <c r="J29" s="52">
        <f t="shared" si="5"/>
        <v>1949.16</v>
      </c>
    </row>
    <row r="30" spans="1:10" ht="15.75" x14ac:dyDescent="0.25">
      <c r="A30" s="111" t="s">
        <v>207</v>
      </c>
      <c r="B30" s="137" t="s">
        <v>278</v>
      </c>
      <c r="C30" s="137"/>
      <c r="D30" s="137"/>
      <c r="E30" s="137"/>
      <c r="F30" s="137"/>
      <c r="G30" s="137"/>
      <c r="H30" s="137"/>
      <c r="I30" s="42">
        <f>ROUND(SUM(I31:I34),2)</f>
        <v>14521.02</v>
      </c>
      <c r="J30" s="51">
        <f>ROUND(SUM(J31:J34),2)</f>
        <v>18367.41</v>
      </c>
    </row>
    <row r="31" spans="1:10" ht="31.5" x14ac:dyDescent="0.25">
      <c r="A31" s="112" t="s">
        <v>279</v>
      </c>
      <c r="B31" s="44" t="s">
        <v>280</v>
      </c>
      <c r="C31" s="43" t="s">
        <v>281</v>
      </c>
      <c r="D31" s="44" t="s">
        <v>238</v>
      </c>
      <c r="E31" s="44" t="s">
        <v>248</v>
      </c>
      <c r="F31" s="45">
        <f>'MEMÓRIA DE CALCULO'!I125</f>
        <v>131.80000000000001</v>
      </c>
      <c r="G31" s="46">
        <f>0.9*79.93</f>
        <v>71.937000000000012</v>
      </c>
      <c r="H31" s="46">
        <f>ROUND(SUM(G31*(1+$J$6)),2)</f>
        <v>90.99</v>
      </c>
      <c r="I31" s="46">
        <f>ROUND(SUM(F31*G31),2)</f>
        <v>9481.2999999999993</v>
      </c>
      <c r="J31" s="52">
        <f>ROUND(SUM(F31*H31),2)</f>
        <v>11992.48</v>
      </c>
    </row>
    <row r="32" spans="1:10" ht="63" x14ac:dyDescent="0.25">
      <c r="A32" s="112" t="s">
        <v>282</v>
      </c>
      <c r="B32" s="44" t="s">
        <v>283</v>
      </c>
      <c r="C32" s="43" t="s">
        <v>60</v>
      </c>
      <c r="D32" s="44" t="s">
        <v>238</v>
      </c>
      <c r="E32" s="44" t="s">
        <v>245</v>
      </c>
      <c r="F32" s="45">
        <f>'MEMÓRIA DE CALCULO'!I134</f>
        <v>0.17</v>
      </c>
      <c r="G32" s="46">
        <v>3750.2</v>
      </c>
      <c r="H32" s="46">
        <f t="shared" ref="H32:H34" si="6">ROUND(SUM(G32*(1+$J$6)),2)</f>
        <v>4743.63</v>
      </c>
      <c r="I32" s="46">
        <f t="shared" ref="I32:I34" si="7">ROUND(SUM(F32*G32),2)</f>
        <v>637.53</v>
      </c>
      <c r="J32" s="52">
        <f t="shared" ref="J32:J34" si="8">ROUND(SUM(F32*H32),2)</f>
        <v>806.42</v>
      </c>
    </row>
    <row r="33" spans="1:10" ht="63" x14ac:dyDescent="0.25">
      <c r="A33" s="112" t="s">
        <v>284</v>
      </c>
      <c r="B33" s="44" t="s">
        <v>285</v>
      </c>
      <c r="C33" s="43" t="s">
        <v>286</v>
      </c>
      <c r="D33" s="44" t="s">
        <v>238</v>
      </c>
      <c r="E33" s="44" t="s">
        <v>248</v>
      </c>
      <c r="F33" s="45">
        <f>'MEMÓRIA DE CALCULO'!I143</f>
        <v>97.08</v>
      </c>
      <c r="G33" s="46">
        <v>10.48</v>
      </c>
      <c r="H33" s="46">
        <f t="shared" si="6"/>
        <v>13.26</v>
      </c>
      <c r="I33" s="46">
        <f t="shared" si="7"/>
        <v>1017.4</v>
      </c>
      <c r="J33" s="52">
        <f t="shared" si="8"/>
        <v>1287.28</v>
      </c>
    </row>
    <row r="34" spans="1:10" ht="47.25" x14ac:dyDescent="0.25">
      <c r="A34" s="112" t="s">
        <v>287</v>
      </c>
      <c r="B34" s="44" t="s">
        <v>288</v>
      </c>
      <c r="C34" s="43" t="s">
        <v>289</v>
      </c>
      <c r="D34" s="44" t="s">
        <v>238</v>
      </c>
      <c r="E34" s="44" t="s">
        <v>248</v>
      </c>
      <c r="F34" s="45">
        <f>'MEMÓRIA DE CALCULO'!I149</f>
        <v>97.08</v>
      </c>
      <c r="G34" s="46">
        <f>0.9*38.74</f>
        <v>34.866</v>
      </c>
      <c r="H34" s="46">
        <f t="shared" si="6"/>
        <v>44.1</v>
      </c>
      <c r="I34" s="46">
        <f t="shared" si="7"/>
        <v>3384.79</v>
      </c>
      <c r="J34" s="52">
        <f t="shared" si="8"/>
        <v>4281.2299999999996</v>
      </c>
    </row>
    <row r="35" spans="1:10" ht="15.75" x14ac:dyDescent="0.25">
      <c r="A35" s="111" t="s">
        <v>209</v>
      </c>
      <c r="B35" s="137" t="s">
        <v>290</v>
      </c>
      <c r="C35" s="137"/>
      <c r="D35" s="137"/>
      <c r="E35" s="137"/>
      <c r="F35" s="137"/>
      <c r="G35" s="137"/>
      <c r="H35" s="137"/>
      <c r="I35" s="42">
        <f>ROUND(SUM(I36:I42),2)</f>
        <v>30609.42</v>
      </c>
      <c r="J35" s="51">
        <f>ROUND(SUM(J36:J42),2)</f>
        <v>38719.379999999997</v>
      </c>
    </row>
    <row r="36" spans="1:10" ht="47.25" x14ac:dyDescent="0.25">
      <c r="A36" s="112" t="s">
        <v>291</v>
      </c>
      <c r="B36" s="44" t="s">
        <v>292</v>
      </c>
      <c r="C36" s="43" t="s">
        <v>8</v>
      </c>
      <c r="D36" s="44" t="s">
        <v>238</v>
      </c>
      <c r="E36" s="44" t="s">
        <v>248</v>
      </c>
      <c r="F36" s="45">
        <f>'MEMÓRIA DE CALCULO'!I164</f>
        <v>195.08</v>
      </c>
      <c r="G36" s="46">
        <v>11.55</v>
      </c>
      <c r="H36" s="46">
        <f>ROUND(SUM(G36*(1+$J$6)),2)</f>
        <v>14.61</v>
      </c>
      <c r="I36" s="46">
        <f>ROUND(SUM(F36*G36),2)</f>
        <v>2253.17</v>
      </c>
      <c r="J36" s="52">
        <f>ROUND(SUM(F36*H36),2)</f>
        <v>2850.12</v>
      </c>
    </row>
    <row r="37" spans="1:10" ht="31.5" x14ac:dyDescent="0.25">
      <c r="A37" s="112" t="s">
        <v>293</v>
      </c>
      <c r="B37" s="44" t="s">
        <v>250</v>
      </c>
      <c r="C37" s="43" t="s">
        <v>251</v>
      </c>
      <c r="D37" s="44" t="s">
        <v>238</v>
      </c>
      <c r="E37" s="44" t="s">
        <v>245</v>
      </c>
      <c r="F37" s="45">
        <f>'MEMÓRIA DE CALCULO'!I177</f>
        <v>3.93</v>
      </c>
      <c r="G37" s="46">
        <f>0.9*630.36</f>
        <v>567.32400000000007</v>
      </c>
      <c r="H37" s="46">
        <f t="shared" ref="H37:H42" si="9">ROUND(SUM(G37*(1+$J$6)),2)</f>
        <v>717.61</v>
      </c>
      <c r="I37" s="46">
        <f t="shared" ref="I37:I42" si="10">ROUND(SUM(F37*G37),2)</f>
        <v>2229.58</v>
      </c>
      <c r="J37" s="52">
        <f t="shared" ref="J37:J42" si="11">ROUND(SUM(F37*H37),2)</f>
        <v>2820.21</v>
      </c>
    </row>
    <row r="38" spans="1:10" ht="47.25" x14ac:dyDescent="0.25">
      <c r="A38" s="112" t="s">
        <v>294</v>
      </c>
      <c r="B38" s="44" t="s">
        <v>295</v>
      </c>
      <c r="C38" s="43" t="s">
        <v>75</v>
      </c>
      <c r="D38" s="44" t="s">
        <v>238</v>
      </c>
      <c r="E38" s="44" t="s">
        <v>248</v>
      </c>
      <c r="F38" s="45">
        <f>'MEMÓRIA DE CALCULO'!I190</f>
        <v>130.79</v>
      </c>
      <c r="G38" s="46">
        <v>40.79</v>
      </c>
      <c r="H38" s="46">
        <f t="shared" si="9"/>
        <v>51.6</v>
      </c>
      <c r="I38" s="46">
        <f t="shared" si="10"/>
        <v>5334.92</v>
      </c>
      <c r="J38" s="52">
        <f t="shared" si="11"/>
        <v>6748.76</v>
      </c>
    </row>
    <row r="39" spans="1:10" ht="47.25" x14ac:dyDescent="0.25">
      <c r="A39" s="112" t="s">
        <v>296</v>
      </c>
      <c r="B39" s="44" t="s">
        <v>297</v>
      </c>
      <c r="C39" s="43" t="s">
        <v>298</v>
      </c>
      <c r="D39" s="44" t="s">
        <v>238</v>
      </c>
      <c r="E39" s="44" t="s">
        <v>248</v>
      </c>
      <c r="F39" s="45">
        <f>'MEMÓRIA DE CALCULO'!I203</f>
        <v>130.79</v>
      </c>
      <c r="G39" s="46">
        <v>51.25</v>
      </c>
      <c r="H39" s="46">
        <f t="shared" si="9"/>
        <v>64.83</v>
      </c>
      <c r="I39" s="46">
        <f t="shared" si="10"/>
        <v>6702.99</v>
      </c>
      <c r="J39" s="52">
        <f t="shared" si="11"/>
        <v>8479.1200000000008</v>
      </c>
    </row>
    <row r="40" spans="1:10" ht="15.75" x14ac:dyDescent="0.25">
      <c r="A40" s="112" t="s">
        <v>299</v>
      </c>
      <c r="B40" s="44" t="s">
        <v>300</v>
      </c>
      <c r="C40" s="43" t="s">
        <v>301</v>
      </c>
      <c r="D40" s="44" t="s">
        <v>238</v>
      </c>
      <c r="E40" s="44" t="s">
        <v>248</v>
      </c>
      <c r="F40" s="45">
        <f>'MEMÓRIA DE CALCULO'!I212</f>
        <v>81.62</v>
      </c>
      <c r="G40" s="46">
        <v>71.88</v>
      </c>
      <c r="H40" s="46">
        <f t="shared" si="9"/>
        <v>90.92</v>
      </c>
      <c r="I40" s="46">
        <f t="shared" si="10"/>
        <v>5866.85</v>
      </c>
      <c r="J40" s="52">
        <f t="shared" si="11"/>
        <v>7420.89</v>
      </c>
    </row>
    <row r="41" spans="1:10" ht="78.75" x14ac:dyDescent="0.25">
      <c r="A41" s="112" t="s">
        <v>302</v>
      </c>
      <c r="B41" s="44" t="s">
        <v>303</v>
      </c>
      <c r="C41" s="43" t="s">
        <v>304</v>
      </c>
      <c r="D41" s="44" t="s">
        <v>238</v>
      </c>
      <c r="E41" s="44" t="s">
        <v>248</v>
      </c>
      <c r="F41" s="45">
        <f>'MEMÓRIA DE CALCULO'!I222</f>
        <v>98.58</v>
      </c>
      <c r="G41" s="46">
        <v>79.94</v>
      </c>
      <c r="H41" s="46">
        <f t="shared" si="9"/>
        <v>101.12</v>
      </c>
      <c r="I41" s="46">
        <f t="shared" si="10"/>
        <v>7880.49</v>
      </c>
      <c r="J41" s="52">
        <f t="shared" si="11"/>
        <v>9968.41</v>
      </c>
    </row>
    <row r="42" spans="1:10" ht="63" x14ac:dyDescent="0.25">
      <c r="A42" s="112" t="s">
        <v>305</v>
      </c>
      <c r="B42" s="44" t="s">
        <v>306</v>
      </c>
      <c r="C42" s="43" t="s">
        <v>307</v>
      </c>
      <c r="D42" s="44" t="s">
        <v>238</v>
      </c>
      <c r="E42" s="44" t="s">
        <v>248</v>
      </c>
      <c r="F42" s="45">
        <f>'MEMÓRIA DE CALCULO'!I229</f>
        <v>0.96</v>
      </c>
      <c r="G42" s="46">
        <v>355.65</v>
      </c>
      <c r="H42" s="46">
        <f t="shared" si="9"/>
        <v>449.86</v>
      </c>
      <c r="I42" s="46">
        <f t="shared" si="10"/>
        <v>341.42</v>
      </c>
      <c r="J42" s="52">
        <f t="shared" si="11"/>
        <v>431.87</v>
      </c>
    </row>
    <row r="43" spans="1:10" ht="15.75" x14ac:dyDescent="0.25">
      <c r="A43" s="111" t="s">
        <v>308</v>
      </c>
      <c r="B43" s="137" t="s">
        <v>309</v>
      </c>
      <c r="C43" s="137"/>
      <c r="D43" s="137"/>
      <c r="E43" s="137"/>
      <c r="F43" s="137"/>
      <c r="G43" s="137"/>
      <c r="H43" s="137"/>
      <c r="I43" s="42">
        <f>ROUND(SUM(I44:I53),2)</f>
        <v>13010.82</v>
      </c>
      <c r="J43" s="51">
        <f>ROUND(SUM(J44:J53),2)</f>
        <v>16457.310000000001</v>
      </c>
    </row>
    <row r="44" spans="1:10" ht="63" x14ac:dyDescent="0.25">
      <c r="A44" s="112" t="s">
        <v>310</v>
      </c>
      <c r="B44" s="44" t="s">
        <v>311</v>
      </c>
      <c r="C44" s="43" t="s">
        <v>312</v>
      </c>
      <c r="D44" s="44" t="s">
        <v>238</v>
      </c>
      <c r="E44" s="44" t="s">
        <v>239</v>
      </c>
      <c r="F44" s="45">
        <f>'MEMÓRIA DE CALCULO'!I236</f>
        <v>2</v>
      </c>
      <c r="G44" s="46">
        <v>667.99</v>
      </c>
      <c r="H44" s="46">
        <f>ROUND(SUM(G44*(1+$J$6)),2)</f>
        <v>844.94</v>
      </c>
      <c r="I44" s="46">
        <f>ROUND(SUM(F44*G44),2)</f>
        <v>1335.98</v>
      </c>
      <c r="J44" s="52">
        <f>ROUND(SUM(F44*H44),2)</f>
        <v>1689.88</v>
      </c>
    </row>
    <row r="45" spans="1:10" ht="63" x14ac:dyDescent="0.25">
      <c r="A45" s="112" t="s">
        <v>313</v>
      </c>
      <c r="B45" s="44" t="s">
        <v>314</v>
      </c>
      <c r="C45" s="43" t="s">
        <v>315</v>
      </c>
      <c r="D45" s="44" t="s">
        <v>238</v>
      </c>
      <c r="E45" s="44" t="s">
        <v>239</v>
      </c>
      <c r="F45" s="45">
        <f>'MEMÓRIA DE CALCULO'!I242</f>
        <v>1</v>
      </c>
      <c r="G45" s="46">
        <v>571.37</v>
      </c>
      <c r="H45" s="46">
        <f t="shared" ref="H45:H53" si="12">ROUND(SUM(G45*(1+$J$6)),2)</f>
        <v>722.73</v>
      </c>
      <c r="I45" s="46">
        <f t="shared" ref="I45:I53" si="13">ROUND(SUM(F45*G45),2)</f>
        <v>571.37</v>
      </c>
      <c r="J45" s="52">
        <f t="shared" ref="J45:J53" si="14">ROUND(SUM(F45*H45),2)</f>
        <v>722.73</v>
      </c>
    </row>
    <row r="46" spans="1:10" ht="63" x14ac:dyDescent="0.25">
      <c r="A46" s="112" t="s">
        <v>316</v>
      </c>
      <c r="B46" s="44" t="s">
        <v>317</v>
      </c>
      <c r="C46" s="43" t="s">
        <v>318</v>
      </c>
      <c r="D46" s="44" t="s">
        <v>238</v>
      </c>
      <c r="E46" s="44" t="s">
        <v>239</v>
      </c>
      <c r="F46" s="45">
        <f>'MEMÓRIA DE CALCULO'!I248</f>
        <v>1</v>
      </c>
      <c r="G46" s="46">
        <v>409.64</v>
      </c>
      <c r="H46" s="46">
        <f t="shared" si="12"/>
        <v>518.15</v>
      </c>
      <c r="I46" s="46">
        <f t="shared" si="13"/>
        <v>409.64</v>
      </c>
      <c r="J46" s="52">
        <f t="shared" si="14"/>
        <v>518.15</v>
      </c>
    </row>
    <row r="47" spans="1:10" ht="94.5" x14ac:dyDescent="0.25">
      <c r="A47" s="112" t="s">
        <v>319</v>
      </c>
      <c r="B47" s="44" t="s">
        <v>320</v>
      </c>
      <c r="C47" s="43" t="s">
        <v>321</v>
      </c>
      <c r="D47" s="44" t="s">
        <v>238</v>
      </c>
      <c r="E47" s="44" t="s">
        <v>239</v>
      </c>
      <c r="F47" s="45">
        <f>'MEMÓRIA DE CALCULO'!I254</f>
        <v>2</v>
      </c>
      <c r="G47" s="46">
        <v>566.02</v>
      </c>
      <c r="H47" s="46">
        <f t="shared" si="12"/>
        <v>715.96</v>
      </c>
      <c r="I47" s="46">
        <f t="shared" si="13"/>
        <v>1132.04</v>
      </c>
      <c r="J47" s="52">
        <f t="shared" si="14"/>
        <v>1431.92</v>
      </c>
    </row>
    <row r="48" spans="1:10" ht="78.75" x14ac:dyDescent="0.25">
      <c r="A48" s="112" t="s">
        <v>322</v>
      </c>
      <c r="B48" s="44" t="s">
        <v>323</v>
      </c>
      <c r="C48" s="43" t="s">
        <v>324</v>
      </c>
      <c r="D48" s="44" t="s">
        <v>238</v>
      </c>
      <c r="E48" s="44" t="s">
        <v>248</v>
      </c>
      <c r="F48" s="45">
        <f>'MEMÓRIA DE CALCULO'!I262</f>
        <v>2.34</v>
      </c>
      <c r="G48" s="46">
        <v>399.64</v>
      </c>
      <c r="H48" s="46">
        <f t="shared" si="12"/>
        <v>505.5</v>
      </c>
      <c r="I48" s="46">
        <f t="shared" si="13"/>
        <v>935.16</v>
      </c>
      <c r="J48" s="52">
        <f t="shared" si="14"/>
        <v>1182.8699999999999</v>
      </c>
    </row>
    <row r="49" spans="1:10" ht="47.25" x14ac:dyDescent="0.25">
      <c r="A49" s="112" t="s">
        <v>325</v>
      </c>
      <c r="B49" s="44" t="s">
        <v>326</v>
      </c>
      <c r="C49" s="43" t="s">
        <v>76</v>
      </c>
      <c r="D49" s="44" t="s">
        <v>238</v>
      </c>
      <c r="E49" s="44" t="s">
        <v>327</v>
      </c>
      <c r="F49" s="45">
        <f>'MEMÓRIA DE CALCULO'!I270</f>
        <v>5.65</v>
      </c>
      <c r="G49" s="46">
        <v>59.8</v>
      </c>
      <c r="H49" s="46">
        <f t="shared" si="12"/>
        <v>75.64</v>
      </c>
      <c r="I49" s="46">
        <f t="shared" si="13"/>
        <v>337.87</v>
      </c>
      <c r="J49" s="52">
        <f t="shared" si="14"/>
        <v>427.37</v>
      </c>
    </row>
    <row r="50" spans="1:10" ht="63" x14ac:dyDescent="0.25">
      <c r="A50" s="112" t="s">
        <v>328</v>
      </c>
      <c r="B50" s="44" t="s">
        <v>329</v>
      </c>
      <c r="C50" s="43" t="s">
        <v>77</v>
      </c>
      <c r="D50" s="44" t="s">
        <v>238</v>
      </c>
      <c r="E50" s="44" t="s">
        <v>239</v>
      </c>
      <c r="F50" s="45">
        <f>'MEMÓRIA DE CALCULO'!I276</f>
        <v>2</v>
      </c>
      <c r="G50" s="46">
        <v>180.59</v>
      </c>
      <c r="H50" s="46">
        <f t="shared" si="12"/>
        <v>228.43</v>
      </c>
      <c r="I50" s="46">
        <f t="shared" si="13"/>
        <v>361.18</v>
      </c>
      <c r="J50" s="52">
        <f t="shared" si="14"/>
        <v>456.86</v>
      </c>
    </row>
    <row r="51" spans="1:10" ht="63" x14ac:dyDescent="0.25">
      <c r="A51" s="112" t="s">
        <v>330</v>
      </c>
      <c r="B51" s="44" t="s">
        <v>331</v>
      </c>
      <c r="C51" s="43" t="s">
        <v>11</v>
      </c>
      <c r="D51" s="44" t="s">
        <v>238</v>
      </c>
      <c r="E51" s="44" t="s">
        <v>239</v>
      </c>
      <c r="F51" s="45">
        <f>'MEMÓRIA DE CALCULO'!I282</f>
        <v>2</v>
      </c>
      <c r="G51" s="46">
        <v>141.33000000000001</v>
      </c>
      <c r="H51" s="46">
        <f t="shared" si="12"/>
        <v>178.77</v>
      </c>
      <c r="I51" s="46">
        <f t="shared" si="13"/>
        <v>282.66000000000003</v>
      </c>
      <c r="J51" s="52">
        <f t="shared" si="14"/>
        <v>357.54</v>
      </c>
    </row>
    <row r="52" spans="1:10" ht="63" x14ac:dyDescent="0.25">
      <c r="A52" s="112" t="s">
        <v>332</v>
      </c>
      <c r="B52" s="44" t="s">
        <v>333</v>
      </c>
      <c r="C52" s="43" t="s">
        <v>334</v>
      </c>
      <c r="D52" s="44" t="s">
        <v>238</v>
      </c>
      <c r="E52" s="44" t="s">
        <v>239</v>
      </c>
      <c r="F52" s="45">
        <f>'MEMÓRIA DE CALCULO'!I288</f>
        <v>2</v>
      </c>
      <c r="G52" s="46">
        <v>179.33</v>
      </c>
      <c r="H52" s="46">
        <f t="shared" si="12"/>
        <v>226.83</v>
      </c>
      <c r="I52" s="46">
        <f t="shared" si="13"/>
        <v>358.66</v>
      </c>
      <c r="J52" s="52">
        <f t="shared" si="14"/>
        <v>453.66</v>
      </c>
    </row>
    <row r="53" spans="1:10" ht="110.25" x14ac:dyDescent="0.25">
      <c r="A53" s="112" t="s">
        <v>335</v>
      </c>
      <c r="B53" s="44" t="s">
        <v>336</v>
      </c>
      <c r="C53" s="43" t="s">
        <v>337</v>
      </c>
      <c r="D53" s="44" t="s">
        <v>238</v>
      </c>
      <c r="E53" s="44" t="s">
        <v>327</v>
      </c>
      <c r="F53" s="45">
        <f>'MEMÓRIA DE CALCULO'!I294</f>
        <v>13.84</v>
      </c>
      <c r="G53" s="46">
        <f>0.9*584.96</f>
        <v>526.46400000000006</v>
      </c>
      <c r="H53" s="46">
        <f t="shared" si="12"/>
        <v>665.92</v>
      </c>
      <c r="I53" s="46">
        <f t="shared" si="13"/>
        <v>7286.26</v>
      </c>
      <c r="J53" s="52">
        <f t="shared" si="14"/>
        <v>9216.33</v>
      </c>
    </row>
    <row r="54" spans="1:10" ht="15.75" x14ac:dyDescent="0.25">
      <c r="A54" s="111" t="s">
        <v>338</v>
      </c>
      <c r="B54" s="137" t="s">
        <v>339</v>
      </c>
      <c r="C54" s="137"/>
      <c r="D54" s="137"/>
      <c r="E54" s="137"/>
      <c r="F54" s="137"/>
      <c r="G54" s="137"/>
      <c r="H54" s="137"/>
      <c r="I54" s="42">
        <f>ROUND(SUM(I55:I58),2)</f>
        <v>6484.36</v>
      </c>
      <c r="J54" s="51">
        <f>ROUND(SUM(J55:J58),2)</f>
        <v>8202.07</v>
      </c>
    </row>
    <row r="55" spans="1:10" ht="94.5" x14ac:dyDescent="0.25">
      <c r="A55" s="112" t="s">
        <v>340</v>
      </c>
      <c r="B55" s="44" t="s">
        <v>341</v>
      </c>
      <c r="C55" s="43" t="s">
        <v>342</v>
      </c>
      <c r="D55" s="44" t="s">
        <v>238</v>
      </c>
      <c r="E55" s="44" t="s">
        <v>239</v>
      </c>
      <c r="F55" s="45">
        <f>'MEMÓRIA DE CALCULO'!I304</f>
        <v>4</v>
      </c>
      <c r="G55" s="46">
        <f>0.9*919.15</f>
        <v>827.23500000000001</v>
      </c>
      <c r="H55" s="46">
        <f>ROUND(SUM(G55*(1+$J$6)),2)</f>
        <v>1046.3699999999999</v>
      </c>
      <c r="I55" s="46">
        <f>ROUND(SUM(F55*G55),2)</f>
        <v>3308.94</v>
      </c>
      <c r="J55" s="52">
        <f>ROUND(SUM(F55*H55),2)</f>
        <v>4185.4799999999996</v>
      </c>
    </row>
    <row r="56" spans="1:10" ht="63" x14ac:dyDescent="0.25">
      <c r="A56" s="112" t="s">
        <v>343</v>
      </c>
      <c r="B56" s="44" t="s">
        <v>344</v>
      </c>
      <c r="C56" s="43" t="s">
        <v>185</v>
      </c>
      <c r="D56" s="44" t="s">
        <v>238</v>
      </c>
      <c r="E56" s="44" t="s">
        <v>239</v>
      </c>
      <c r="F56" s="45">
        <f>'MEMÓRIA DE CALCULO'!I310</f>
        <v>1</v>
      </c>
      <c r="G56" s="46">
        <f>0.9*1100.44</f>
        <v>990.39600000000007</v>
      </c>
      <c r="H56" s="46">
        <f t="shared" ref="H56:H58" si="15">ROUND(SUM(G56*(1+$J$6)),2)</f>
        <v>1252.75</v>
      </c>
      <c r="I56" s="46">
        <f t="shared" ref="I56:I58" si="16">ROUND(SUM(F56*G56),2)</f>
        <v>990.4</v>
      </c>
      <c r="J56" s="52">
        <f t="shared" ref="J56:J58" si="17">ROUND(SUM(F56*H56),2)</f>
        <v>1252.75</v>
      </c>
    </row>
    <row r="57" spans="1:10" ht="31.5" x14ac:dyDescent="0.25">
      <c r="A57" s="112" t="s">
        <v>345</v>
      </c>
      <c r="B57" s="44" t="s">
        <v>346</v>
      </c>
      <c r="C57" s="43" t="s">
        <v>347</v>
      </c>
      <c r="D57" s="44" t="s">
        <v>238</v>
      </c>
      <c r="E57" s="44" t="s">
        <v>348</v>
      </c>
      <c r="F57" s="45">
        <v>4</v>
      </c>
      <c r="G57" s="46">
        <v>180.78</v>
      </c>
      <c r="H57" s="46">
        <f t="shared" si="15"/>
        <v>228.67</v>
      </c>
      <c r="I57" s="46">
        <f t="shared" si="16"/>
        <v>723.12</v>
      </c>
      <c r="J57" s="52">
        <f t="shared" si="17"/>
        <v>914.68</v>
      </c>
    </row>
    <row r="58" spans="1:10" ht="31.5" x14ac:dyDescent="0.25">
      <c r="A58" s="112" t="s">
        <v>349</v>
      </c>
      <c r="B58" s="44" t="s">
        <v>350</v>
      </c>
      <c r="C58" s="43" t="s">
        <v>351</v>
      </c>
      <c r="D58" s="44" t="s">
        <v>238</v>
      </c>
      <c r="E58" s="44" t="s">
        <v>248</v>
      </c>
      <c r="F58" s="45">
        <f>'MEMÓRIA DE CALCULO'!I322</f>
        <v>2.64</v>
      </c>
      <c r="G58" s="46">
        <v>553.75</v>
      </c>
      <c r="H58" s="46">
        <f t="shared" si="15"/>
        <v>700.44</v>
      </c>
      <c r="I58" s="46">
        <f t="shared" si="16"/>
        <v>1461.9</v>
      </c>
      <c r="J58" s="52">
        <f t="shared" si="17"/>
        <v>1849.16</v>
      </c>
    </row>
    <row r="59" spans="1:10" ht="15.75" x14ac:dyDescent="0.25">
      <c r="A59" s="111" t="s">
        <v>352</v>
      </c>
      <c r="B59" s="137" t="s">
        <v>353</v>
      </c>
      <c r="C59" s="137"/>
      <c r="D59" s="137"/>
      <c r="E59" s="137"/>
      <c r="F59" s="137"/>
      <c r="G59" s="137"/>
      <c r="H59" s="137"/>
      <c r="I59" s="42">
        <f>ROUND(SUM(I60:I61),2)</f>
        <v>3910.58</v>
      </c>
      <c r="J59" s="51">
        <f>ROUND(SUM(J60:J61),2)</f>
        <v>4946.18</v>
      </c>
    </row>
    <row r="60" spans="1:10" ht="47.25" x14ac:dyDescent="0.25">
      <c r="A60" s="112" t="s">
        <v>354</v>
      </c>
      <c r="B60" s="44" t="s">
        <v>355</v>
      </c>
      <c r="C60" s="43" t="s">
        <v>356</v>
      </c>
      <c r="D60" s="44" t="s">
        <v>238</v>
      </c>
      <c r="E60" s="44" t="s">
        <v>248</v>
      </c>
      <c r="F60" s="45">
        <f>'MEMÓRIA DE CALCULO'!I329</f>
        <v>191.89000000000001</v>
      </c>
      <c r="G60" s="46">
        <v>16.920000000000002</v>
      </c>
      <c r="H60" s="46">
        <f>ROUND(SUM(G60*(1+$J$6)),2)</f>
        <v>21.4</v>
      </c>
      <c r="I60" s="46">
        <f>ROUND(SUM(F60*G60),2)</f>
        <v>3246.78</v>
      </c>
      <c r="J60" s="52">
        <f>ROUND(SUM(F60*H60),2)</f>
        <v>4106.45</v>
      </c>
    </row>
    <row r="61" spans="1:10" ht="78.75" x14ac:dyDescent="0.25">
      <c r="A61" s="112" t="s">
        <v>357</v>
      </c>
      <c r="B61" s="44" t="s">
        <v>358</v>
      </c>
      <c r="C61" s="43" t="s">
        <v>120</v>
      </c>
      <c r="D61" s="44" t="s">
        <v>238</v>
      </c>
      <c r="E61" s="44" t="s">
        <v>248</v>
      </c>
      <c r="F61" s="45">
        <f>'MEMÓRIA DE CALCULO'!I335</f>
        <v>18.48</v>
      </c>
      <c r="G61" s="46">
        <v>35.92</v>
      </c>
      <c r="H61" s="46">
        <f>ROUND(SUM(G61*(1+$J$6)),2)</f>
        <v>45.44</v>
      </c>
      <c r="I61" s="46">
        <f>ROUND(SUM(F61*G61),2)</f>
        <v>663.8</v>
      </c>
      <c r="J61" s="52">
        <f>ROUND(SUM(F61*H61),2)</f>
        <v>839.73</v>
      </c>
    </row>
    <row r="62" spans="1:10" ht="15.75" x14ac:dyDescent="0.25">
      <c r="A62" s="111" t="s">
        <v>359</v>
      </c>
      <c r="B62" s="137" t="s">
        <v>360</v>
      </c>
      <c r="C62" s="137"/>
      <c r="D62" s="137"/>
      <c r="E62" s="137"/>
      <c r="F62" s="137"/>
      <c r="G62" s="137"/>
      <c r="H62" s="137"/>
      <c r="I62" s="42">
        <f>ROUND(SUM(I63:I66),2)</f>
        <v>31279.29</v>
      </c>
      <c r="J62" s="51">
        <f>ROUND(SUM(J63:J66),2)</f>
        <v>39565.54</v>
      </c>
    </row>
    <row r="63" spans="1:10" ht="63" x14ac:dyDescent="0.25">
      <c r="A63" s="112" t="s">
        <v>361</v>
      </c>
      <c r="B63" s="44" t="s">
        <v>362</v>
      </c>
      <c r="C63" s="43" t="s">
        <v>189</v>
      </c>
      <c r="D63" s="44" t="s">
        <v>238</v>
      </c>
      <c r="E63" s="44" t="s">
        <v>248</v>
      </c>
      <c r="F63" s="45">
        <f>'MEMÓRIA DE CALCULO'!I342</f>
        <v>15.84</v>
      </c>
      <c r="G63" s="46">
        <v>60.84</v>
      </c>
      <c r="H63" s="46">
        <f>ROUND(SUM(G63*(1+$J$6)),2)</f>
        <v>76.959999999999994</v>
      </c>
      <c r="I63" s="46">
        <f>ROUND(SUM(F63*G63),2)</f>
        <v>963.71</v>
      </c>
      <c r="J63" s="52">
        <f>ROUND(SUM(F63*H63),2)</f>
        <v>1219.05</v>
      </c>
    </row>
    <row r="64" spans="1:10" ht="47.25" x14ac:dyDescent="0.25">
      <c r="A64" s="112" t="s">
        <v>363</v>
      </c>
      <c r="B64" s="44" t="s">
        <v>364</v>
      </c>
      <c r="C64" s="43" t="s">
        <v>365</v>
      </c>
      <c r="D64" s="44" t="s">
        <v>238</v>
      </c>
      <c r="E64" s="44" t="s">
        <v>248</v>
      </c>
      <c r="F64" s="45">
        <f>'MEMÓRIA DE CALCULO'!I349</f>
        <v>149.36000000000001</v>
      </c>
      <c r="G64" s="46">
        <f>0.9*110.77</f>
        <v>99.692999999999998</v>
      </c>
      <c r="H64" s="46">
        <f t="shared" ref="H64:H65" si="18">ROUND(SUM(G64*(1+$J$6)),2)</f>
        <v>126.1</v>
      </c>
      <c r="I64" s="46">
        <f t="shared" ref="I64:I65" si="19">ROUND(SUM(F64*G64),2)</f>
        <v>14890.15</v>
      </c>
      <c r="J64" s="52">
        <f t="shared" ref="J64:J65" si="20">ROUND(SUM(F64*H64),2)</f>
        <v>18834.3</v>
      </c>
    </row>
    <row r="65" spans="1:10" ht="47.25" x14ac:dyDescent="0.25">
      <c r="A65" s="112" t="s">
        <v>366</v>
      </c>
      <c r="B65" s="44" t="s">
        <v>367</v>
      </c>
      <c r="C65" s="43" t="s">
        <v>368</v>
      </c>
      <c r="D65" s="44" t="s">
        <v>238</v>
      </c>
      <c r="E65" s="44" t="s">
        <v>248</v>
      </c>
      <c r="F65" s="45">
        <f>'MEMÓRIA DE CALCULO'!I354</f>
        <v>149.36000000000001</v>
      </c>
      <c r="G65" s="46">
        <f>0.9*104.08</f>
        <v>93.671999999999997</v>
      </c>
      <c r="H65" s="46">
        <f t="shared" si="18"/>
        <v>118.49</v>
      </c>
      <c r="I65" s="46">
        <f t="shared" si="19"/>
        <v>13990.85</v>
      </c>
      <c r="J65" s="52">
        <f t="shared" si="20"/>
        <v>17697.669999999998</v>
      </c>
    </row>
    <row r="66" spans="1:10" ht="47.25" x14ac:dyDescent="0.25">
      <c r="A66" s="112" t="s">
        <v>573</v>
      </c>
      <c r="B66" s="44" t="s">
        <v>574</v>
      </c>
      <c r="C66" s="43" t="s">
        <v>575</v>
      </c>
      <c r="D66" s="44" t="s">
        <v>238</v>
      </c>
      <c r="E66" s="44" t="s">
        <v>576</v>
      </c>
      <c r="F66" s="45">
        <f>'MEMÓRIA DE CALCULO'!I359</f>
        <v>24.2</v>
      </c>
      <c r="G66" s="46">
        <v>59.28</v>
      </c>
      <c r="H66" s="46">
        <f t="shared" ref="H66" si="21">ROUND(SUM(G66*(1+$J$6)),2)</f>
        <v>74.98</v>
      </c>
      <c r="I66" s="46">
        <f t="shared" ref="I66" si="22">ROUND(SUM(F66*G66),2)</f>
        <v>1434.58</v>
      </c>
      <c r="J66" s="52">
        <f t="shared" ref="J66" si="23">ROUND(SUM(F66*H66),2)</f>
        <v>1814.52</v>
      </c>
    </row>
    <row r="67" spans="1:10" ht="15.75" x14ac:dyDescent="0.25">
      <c r="A67" s="111" t="s">
        <v>3</v>
      </c>
      <c r="B67" s="137" t="s">
        <v>369</v>
      </c>
      <c r="C67" s="137"/>
      <c r="D67" s="137"/>
      <c r="E67" s="137"/>
      <c r="F67" s="137"/>
      <c r="G67" s="137"/>
      <c r="H67" s="137"/>
      <c r="I67" s="42">
        <f>ROUND(SUM(I68,I73,I75,I77,I79),2)</f>
        <v>27679.27</v>
      </c>
      <c r="J67" s="51">
        <f>ROUND(SUM(J68,J73,J75,J77,J79),2)</f>
        <v>35010.5</v>
      </c>
    </row>
    <row r="68" spans="1:10" ht="15.75" x14ac:dyDescent="0.25">
      <c r="A68" s="111" t="s">
        <v>65</v>
      </c>
      <c r="B68" s="137" t="s">
        <v>370</v>
      </c>
      <c r="C68" s="137"/>
      <c r="D68" s="137"/>
      <c r="E68" s="137"/>
      <c r="F68" s="137"/>
      <c r="G68" s="137"/>
      <c r="H68" s="137"/>
      <c r="I68" s="42">
        <f>ROUND(SUM(I69:I72),2)</f>
        <v>1153.24</v>
      </c>
      <c r="J68" s="51">
        <f>ROUND(SUM(J69:J72),2)</f>
        <v>1458.72</v>
      </c>
    </row>
    <row r="69" spans="1:10" ht="63" x14ac:dyDescent="0.25">
      <c r="A69" s="112" t="s">
        <v>371</v>
      </c>
      <c r="B69" s="44" t="s">
        <v>372</v>
      </c>
      <c r="C69" s="43" t="s">
        <v>373</v>
      </c>
      <c r="D69" s="44" t="s">
        <v>238</v>
      </c>
      <c r="E69" s="44" t="s">
        <v>239</v>
      </c>
      <c r="F69" s="45">
        <f>'MEMÓRIA DE CALCULO'!I369</f>
        <v>4</v>
      </c>
      <c r="G69" s="46">
        <v>50.1</v>
      </c>
      <c r="H69" s="46">
        <f>ROUND(SUM(G69*(1+$J$6)),2)</f>
        <v>63.37</v>
      </c>
      <c r="I69" s="46">
        <f>ROUND(SUM(F69*G69),2)</f>
        <v>200.4</v>
      </c>
      <c r="J69" s="52">
        <f>ROUND(SUM(F69*H69),2)</f>
        <v>253.48</v>
      </c>
    </row>
    <row r="70" spans="1:10" ht="78.75" x14ac:dyDescent="0.25">
      <c r="A70" s="112" t="s">
        <v>374</v>
      </c>
      <c r="B70" s="44" t="s">
        <v>375</v>
      </c>
      <c r="C70" s="43" t="s">
        <v>376</v>
      </c>
      <c r="D70" s="44" t="s">
        <v>238</v>
      </c>
      <c r="E70" s="44" t="s">
        <v>248</v>
      </c>
      <c r="F70" s="45">
        <f>'MEMÓRIA DE CALCULO'!I376</f>
        <v>2.84</v>
      </c>
      <c r="G70" s="46">
        <v>10.61</v>
      </c>
      <c r="H70" s="46">
        <f t="shared" ref="H70:H72" si="24">ROUND(SUM(G70*(1+$J$6)),2)</f>
        <v>13.42</v>
      </c>
      <c r="I70" s="46">
        <f t="shared" ref="I70:I72" si="25">ROUND(SUM(F70*G70),2)</f>
        <v>30.13</v>
      </c>
      <c r="J70" s="52">
        <f t="shared" ref="J70:J72" si="26">ROUND(SUM(F70*H70),2)</f>
        <v>38.11</v>
      </c>
    </row>
    <row r="71" spans="1:10" ht="63" x14ac:dyDescent="0.25">
      <c r="A71" s="112" t="s">
        <v>377</v>
      </c>
      <c r="B71" s="44" t="s">
        <v>378</v>
      </c>
      <c r="C71" s="43" t="s">
        <v>379</v>
      </c>
      <c r="D71" s="44" t="s">
        <v>238</v>
      </c>
      <c r="E71" s="44" t="s">
        <v>245</v>
      </c>
      <c r="F71" s="45">
        <f>'MEMÓRIA DE CALCULO'!I383</f>
        <v>6.91</v>
      </c>
      <c r="G71" s="46">
        <v>122.65</v>
      </c>
      <c r="H71" s="46">
        <f t="shared" si="24"/>
        <v>155.13999999999999</v>
      </c>
      <c r="I71" s="46">
        <f t="shared" si="25"/>
        <v>847.51</v>
      </c>
      <c r="J71" s="52">
        <f t="shared" si="26"/>
        <v>1072.02</v>
      </c>
    </row>
    <row r="72" spans="1:10" ht="63" x14ac:dyDescent="0.25">
      <c r="A72" s="112" t="s">
        <v>380</v>
      </c>
      <c r="B72" s="44" t="s">
        <v>381</v>
      </c>
      <c r="C72" s="43" t="s">
        <v>382</v>
      </c>
      <c r="D72" s="44" t="s">
        <v>238</v>
      </c>
      <c r="E72" s="44" t="s">
        <v>248</v>
      </c>
      <c r="F72" s="45">
        <f>'MEMÓRIA DE CALCULO'!I390</f>
        <v>3.64</v>
      </c>
      <c r="G72" s="46">
        <v>20.66</v>
      </c>
      <c r="H72" s="46">
        <f t="shared" si="24"/>
        <v>26.13</v>
      </c>
      <c r="I72" s="46">
        <f t="shared" si="25"/>
        <v>75.2</v>
      </c>
      <c r="J72" s="52">
        <f t="shared" si="26"/>
        <v>95.11</v>
      </c>
    </row>
    <row r="73" spans="1:10" ht="15.75" x14ac:dyDescent="0.25">
      <c r="A73" s="111" t="s">
        <v>66</v>
      </c>
      <c r="B73" s="137" t="s">
        <v>383</v>
      </c>
      <c r="C73" s="137"/>
      <c r="D73" s="137"/>
      <c r="E73" s="137"/>
      <c r="F73" s="137"/>
      <c r="G73" s="137"/>
      <c r="H73" s="137"/>
      <c r="I73" s="42">
        <f>ROUND(SUM(I74),2)</f>
        <v>4535.3999999999996</v>
      </c>
      <c r="J73" s="51">
        <f>ROUND(SUM(J74),2)</f>
        <v>5736.92</v>
      </c>
    </row>
    <row r="74" spans="1:10" ht="63" x14ac:dyDescent="0.25">
      <c r="A74" s="112" t="s">
        <v>384</v>
      </c>
      <c r="B74" s="44" t="s">
        <v>385</v>
      </c>
      <c r="C74" s="43" t="s">
        <v>182</v>
      </c>
      <c r="D74" s="44" t="s">
        <v>238</v>
      </c>
      <c r="E74" s="44" t="s">
        <v>248</v>
      </c>
      <c r="F74" s="45">
        <f>'MEMÓRIA DE CALCULO'!I397</f>
        <v>52.56</v>
      </c>
      <c r="G74" s="46">
        <v>86.29</v>
      </c>
      <c r="H74" s="46">
        <f>ROUND(SUM(G74*(1+$J$6)),2)</f>
        <v>109.15</v>
      </c>
      <c r="I74" s="46">
        <f>ROUND(SUM(F74*G74),2)</f>
        <v>4535.3999999999996</v>
      </c>
      <c r="J74" s="52">
        <f>ROUND(SUM(F74*H74),2)</f>
        <v>5736.92</v>
      </c>
    </row>
    <row r="75" spans="1:10" ht="15.75" x14ac:dyDescent="0.25">
      <c r="A75" s="111" t="s">
        <v>67</v>
      </c>
      <c r="B75" s="137" t="s">
        <v>339</v>
      </c>
      <c r="C75" s="137"/>
      <c r="D75" s="137"/>
      <c r="E75" s="137"/>
      <c r="F75" s="137"/>
      <c r="G75" s="137"/>
      <c r="H75" s="137"/>
      <c r="I75" s="42">
        <f>ROUND(SUM(I76),2)</f>
        <v>3961.58</v>
      </c>
      <c r="J75" s="51">
        <f>ROUND(SUM(J76),2)</f>
        <v>5011</v>
      </c>
    </row>
    <row r="76" spans="1:10" ht="63" x14ac:dyDescent="0.25">
      <c r="A76" s="112" t="s">
        <v>386</v>
      </c>
      <c r="B76" s="44" t="s">
        <v>344</v>
      </c>
      <c r="C76" s="43" t="s">
        <v>185</v>
      </c>
      <c r="D76" s="44" t="s">
        <v>238</v>
      </c>
      <c r="E76" s="44" t="s">
        <v>239</v>
      </c>
      <c r="F76" s="45">
        <f>'MEMÓRIA DE CALCULO'!I404</f>
        <v>4</v>
      </c>
      <c r="G76" s="46">
        <f>0.9*1100.44</f>
        <v>990.39600000000007</v>
      </c>
      <c r="H76" s="46">
        <f>ROUND(SUM(G76*(1+$J$6)),2)</f>
        <v>1252.75</v>
      </c>
      <c r="I76" s="46">
        <f>ROUND(SUM(F76*G76),2)</f>
        <v>3961.58</v>
      </c>
      <c r="J76" s="52">
        <f>ROUND(SUM(F76*H76),2)</f>
        <v>5011</v>
      </c>
    </row>
    <row r="77" spans="1:10" ht="15.75" x14ac:dyDescent="0.25">
      <c r="A77" s="111" t="s">
        <v>68</v>
      </c>
      <c r="B77" s="137" t="s">
        <v>360</v>
      </c>
      <c r="C77" s="137"/>
      <c r="D77" s="137"/>
      <c r="E77" s="137"/>
      <c r="F77" s="137"/>
      <c r="G77" s="137"/>
      <c r="H77" s="137"/>
      <c r="I77" s="42">
        <f>ROUND(SUM(I78),2)</f>
        <v>6221.5</v>
      </c>
      <c r="J77" s="51">
        <f>ROUND(SUM(J78),2)</f>
        <v>7869.93</v>
      </c>
    </row>
    <row r="78" spans="1:10" ht="63" x14ac:dyDescent="0.25">
      <c r="A78" s="112" t="s">
        <v>387</v>
      </c>
      <c r="B78" s="44" t="s">
        <v>362</v>
      </c>
      <c r="C78" s="43" t="s">
        <v>189</v>
      </c>
      <c r="D78" s="44" t="s">
        <v>238</v>
      </c>
      <c r="E78" s="44" t="s">
        <v>248</v>
      </c>
      <c r="F78" s="45">
        <f>'MEMÓRIA DE CALCULO'!I418</f>
        <v>102.26</v>
      </c>
      <c r="G78" s="46">
        <v>60.84</v>
      </c>
      <c r="H78" s="46">
        <f>ROUND(SUM(G78*(1+$J$6)),2)</f>
        <v>76.959999999999994</v>
      </c>
      <c r="I78" s="46">
        <f>ROUND(SUM(F78*G78),2)</f>
        <v>6221.5</v>
      </c>
      <c r="J78" s="52">
        <f>ROUND(SUM(F78*H78),2)</f>
        <v>7869.93</v>
      </c>
    </row>
    <row r="79" spans="1:10" ht="15.75" x14ac:dyDescent="0.25">
      <c r="A79" s="111" t="s">
        <v>69</v>
      </c>
      <c r="B79" s="137" t="s">
        <v>353</v>
      </c>
      <c r="C79" s="137"/>
      <c r="D79" s="137"/>
      <c r="E79" s="137"/>
      <c r="F79" s="137"/>
      <c r="G79" s="137"/>
      <c r="H79" s="137"/>
      <c r="I79" s="42">
        <f>ROUND(SUM(I80:I82),2)</f>
        <v>11807.55</v>
      </c>
      <c r="J79" s="51">
        <f>ROUND(SUM(J80:J82),2)</f>
        <v>14933.93</v>
      </c>
    </row>
    <row r="80" spans="1:10" ht="47.25" x14ac:dyDescent="0.25">
      <c r="A80" s="112" t="s">
        <v>388</v>
      </c>
      <c r="B80" s="44" t="s">
        <v>389</v>
      </c>
      <c r="C80" s="43" t="s">
        <v>390</v>
      </c>
      <c r="D80" s="44" t="s">
        <v>238</v>
      </c>
      <c r="E80" s="44" t="s">
        <v>248</v>
      </c>
      <c r="F80" s="45">
        <f>'MEMÓRIA DE CALCULO'!I424</f>
        <v>105.12</v>
      </c>
      <c r="G80" s="46">
        <v>16.55</v>
      </c>
      <c r="H80" s="46">
        <f>ROUND(SUM(G80*(1+$J$6)),2)</f>
        <v>20.93</v>
      </c>
      <c r="I80" s="46">
        <f>ROUND(SUM(F80*G80),2)</f>
        <v>1739.74</v>
      </c>
      <c r="J80" s="52">
        <f>ROUND(SUM(F80*H80),2)</f>
        <v>2200.16</v>
      </c>
    </row>
    <row r="81" spans="1:10" ht="47.25" x14ac:dyDescent="0.25">
      <c r="A81" s="112" t="s">
        <v>391</v>
      </c>
      <c r="B81" s="44" t="s">
        <v>355</v>
      </c>
      <c r="C81" s="43" t="s">
        <v>356</v>
      </c>
      <c r="D81" s="44" t="s">
        <v>238</v>
      </c>
      <c r="E81" s="44" t="s">
        <v>248</v>
      </c>
      <c r="F81" s="45">
        <f>'MEMÓRIA DE CALCULO'!I430</f>
        <v>537.96</v>
      </c>
      <c r="G81" s="46">
        <v>16.920000000000002</v>
      </c>
      <c r="H81" s="46">
        <f t="shared" ref="H81:H82" si="27">ROUND(SUM(G81*(1+$J$6)),2)</f>
        <v>21.4</v>
      </c>
      <c r="I81" s="46">
        <f t="shared" ref="I81:I82" si="28">ROUND(SUM(F81*G81),2)</f>
        <v>9102.2800000000007</v>
      </c>
      <c r="J81" s="52">
        <f t="shared" ref="J81:J82" si="29">ROUND(SUM(F81*H81),2)</f>
        <v>11512.34</v>
      </c>
    </row>
    <row r="82" spans="1:10" ht="78.75" x14ac:dyDescent="0.25">
      <c r="A82" s="112" t="s">
        <v>392</v>
      </c>
      <c r="B82" s="44" t="s">
        <v>358</v>
      </c>
      <c r="C82" s="43" t="s">
        <v>120</v>
      </c>
      <c r="D82" s="44" t="s">
        <v>238</v>
      </c>
      <c r="E82" s="44" t="s">
        <v>248</v>
      </c>
      <c r="F82" s="45">
        <f>'MEMÓRIA DE CALCULO'!I435</f>
        <v>26.88</v>
      </c>
      <c r="G82" s="46">
        <v>35.92</v>
      </c>
      <c r="H82" s="46">
        <f t="shared" si="27"/>
        <v>45.44</v>
      </c>
      <c r="I82" s="46">
        <f t="shared" si="28"/>
        <v>965.53</v>
      </c>
      <c r="J82" s="52">
        <f t="shared" si="29"/>
        <v>1221.43</v>
      </c>
    </row>
    <row r="83" spans="1:10" ht="15.75" x14ac:dyDescent="0.25">
      <c r="A83" s="111" t="s">
        <v>393</v>
      </c>
      <c r="B83" s="137" t="s">
        <v>394</v>
      </c>
      <c r="C83" s="137"/>
      <c r="D83" s="137"/>
      <c r="E83" s="137"/>
      <c r="F83" s="137"/>
      <c r="G83" s="137"/>
      <c r="H83" s="137"/>
      <c r="I83" s="42">
        <f>ROUND(SUM(I84,I113,I123),2)</f>
        <v>33791.29</v>
      </c>
      <c r="J83" s="51">
        <f>ROUND(SUM(J84,J113,J123),2)</f>
        <v>42741.32</v>
      </c>
    </row>
    <row r="84" spans="1:10" ht="15.75" x14ac:dyDescent="0.25">
      <c r="A84" s="111" t="s">
        <v>395</v>
      </c>
      <c r="B84" s="137" t="s">
        <v>396</v>
      </c>
      <c r="C84" s="137"/>
      <c r="D84" s="137"/>
      <c r="E84" s="137"/>
      <c r="F84" s="137"/>
      <c r="G84" s="137"/>
      <c r="H84" s="137"/>
      <c r="I84" s="42">
        <f>ROUND(SUM(I85:I112),2)</f>
        <v>21959.19</v>
      </c>
      <c r="J84" s="51">
        <f>ROUND(SUM(J85:J112),2)</f>
        <v>27774.87</v>
      </c>
    </row>
    <row r="85" spans="1:10" ht="47.25" x14ac:dyDescent="0.25">
      <c r="A85" s="112" t="s">
        <v>397</v>
      </c>
      <c r="B85" s="44" t="s">
        <v>398</v>
      </c>
      <c r="C85" s="43" t="s">
        <v>399</v>
      </c>
      <c r="D85" s="44" t="s">
        <v>238</v>
      </c>
      <c r="E85" s="44" t="s">
        <v>239</v>
      </c>
      <c r="F85" s="45">
        <v>20</v>
      </c>
      <c r="G85" s="46">
        <v>11.13</v>
      </c>
      <c r="H85" s="46">
        <f>ROUND(SUM(G85*(1+$J$6)),2)</f>
        <v>14.08</v>
      </c>
      <c r="I85" s="46">
        <f>ROUND(SUM(F85*G85),2)</f>
        <v>222.6</v>
      </c>
      <c r="J85" s="52">
        <f>ROUND(SUM(F85*H85),2)</f>
        <v>281.60000000000002</v>
      </c>
    </row>
    <row r="86" spans="1:10" ht="47.25" x14ac:dyDescent="0.25">
      <c r="A86" s="112" t="s">
        <v>400</v>
      </c>
      <c r="B86" s="44" t="s">
        <v>401</v>
      </c>
      <c r="C86" s="43" t="s">
        <v>402</v>
      </c>
      <c r="D86" s="44" t="s">
        <v>238</v>
      </c>
      <c r="E86" s="44" t="s">
        <v>239</v>
      </c>
      <c r="F86" s="45">
        <v>3</v>
      </c>
      <c r="G86" s="46">
        <v>12.98</v>
      </c>
      <c r="H86" s="46">
        <f t="shared" ref="H86:H112" si="30">ROUND(SUM(G86*(1+$J$6)),2)</f>
        <v>16.420000000000002</v>
      </c>
      <c r="I86" s="46">
        <f t="shared" ref="I86:I112" si="31">ROUND(SUM(F86*G86),2)</f>
        <v>38.94</v>
      </c>
      <c r="J86" s="52">
        <f t="shared" ref="J86:J112" si="32">ROUND(SUM(F86*H86),2)</f>
        <v>49.26</v>
      </c>
    </row>
    <row r="87" spans="1:10" ht="63" x14ac:dyDescent="0.25">
      <c r="A87" s="112" t="s">
        <v>403</v>
      </c>
      <c r="B87" s="44" t="s">
        <v>404</v>
      </c>
      <c r="C87" s="43" t="s">
        <v>405</v>
      </c>
      <c r="D87" s="44" t="s">
        <v>238</v>
      </c>
      <c r="E87" s="44" t="s">
        <v>239</v>
      </c>
      <c r="F87" s="45">
        <v>1</v>
      </c>
      <c r="G87" s="46">
        <v>18.59</v>
      </c>
      <c r="H87" s="46">
        <f t="shared" si="30"/>
        <v>23.51</v>
      </c>
      <c r="I87" s="46">
        <f t="shared" si="31"/>
        <v>18.59</v>
      </c>
      <c r="J87" s="52">
        <f t="shared" si="32"/>
        <v>23.51</v>
      </c>
    </row>
    <row r="88" spans="1:10" ht="47.25" x14ac:dyDescent="0.25">
      <c r="A88" s="112" t="s">
        <v>406</v>
      </c>
      <c r="B88" s="44" t="s">
        <v>407</v>
      </c>
      <c r="C88" s="43" t="s">
        <v>408</v>
      </c>
      <c r="D88" s="44" t="s">
        <v>238</v>
      </c>
      <c r="E88" s="44" t="s">
        <v>239</v>
      </c>
      <c r="F88" s="45">
        <v>36</v>
      </c>
      <c r="G88" s="46">
        <v>25.82</v>
      </c>
      <c r="H88" s="46">
        <f t="shared" si="30"/>
        <v>32.659999999999997</v>
      </c>
      <c r="I88" s="46">
        <f t="shared" si="31"/>
        <v>929.52</v>
      </c>
      <c r="J88" s="52">
        <f t="shared" si="32"/>
        <v>1175.76</v>
      </c>
    </row>
    <row r="89" spans="1:10" ht="47.25" x14ac:dyDescent="0.25">
      <c r="A89" s="112" t="s">
        <v>409</v>
      </c>
      <c r="B89" s="44" t="s">
        <v>410</v>
      </c>
      <c r="C89" s="43" t="s">
        <v>411</v>
      </c>
      <c r="D89" s="44" t="s">
        <v>238</v>
      </c>
      <c r="E89" s="44" t="s">
        <v>239</v>
      </c>
      <c r="F89" s="45">
        <v>4</v>
      </c>
      <c r="G89" s="46">
        <v>0.1</v>
      </c>
      <c r="H89" s="46">
        <f t="shared" si="30"/>
        <v>0.13</v>
      </c>
      <c r="I89" s="46">
        <f t="shared" si="31"/>
        <v>0.4</v>
      </c>
      <c r="J89" s="52">
        <f t="shared" si="32"/>
        <v>0.52</v>
      </c>
    </row>
    <row r="90" spans="1:10" ht="47.25" x14ac:dyDescent="0.25">
      <c r="A90" s="112" t="s">
        <v>412</v>
      </c>
      <c r="B90" s="44" t="s">
        <v>413</v>
      </c>
      <c r="C90" s="43" t="s">
        <v>414</v>
      </c>
      <c r="D90" s="44" t="s">
        <v>238</v>
      </c>
      <c r="E90" s="44" t="s">
        <v>239</v>
      </c>
      <c r="F90" s="45">
        <v>311</v>
      </c>
      <c r="G90" s="46">
        <v>0.04</v>
      </c>
      <c r="H90" s="46">
        <f t="shared" si="30"/>
        <v>0.05</v>
      </c>
      <c r="I90" s="46">
        <f t="shared" si="31"/>
        <v>12.44</v>
      </c>
      <c r="J90" s="52">
        <f t="shared" si="32"/>
        <v>15.55</v>
      </c>
    </row>
    <row r="91" spans="1:10" ht="63" x14ac:dyDescent="0.25">
      <c r="A91" s="112" t="s">
        <v>415</v>
      </c>
      <c r="B91" s="44" t="s">
        <v>416</v>
      </c>
      <c r="C91" s="43" t="s">
        <v>417</v>
      </c>
      <c r="D91" s="44" t="s">
        <v>238</v>
      </c>
      <c r="E91" s="44" t="s">
        <v>327</v>
      </c>
      <c r="F91" s="45">
        <v>400.23</v>
      </c>
      <c r="G91" s="46">
        <v>3.18</v>
      </c>
      <c r="H91" s="46">
        <f t="shared" si="30"/>
        <v>4.0199999999999996</v>
      </c>
      <c r="I91" s="46">
        <f t="shared" si="31"/>
        <v>1272.73</v>
      </c>
      <c r="J91" s="52">
        <f t="shared" si="32"/>
        <v>1608.92</v>
      </c>
    </row>
    <row r="92" spans="1:10" ht="63" x14ac:dyDescent="0.25">
      <c r="A92" s="112" t="s">
        <v>418</v>
      </c>
      <c r="B92" s="44" t="s">
        <v>419</v>
      </c>
      <c r="C92" s="43" t="s">
        <v>420</v>
      </c>
      <c r="D92" s="44" t="s">
        <v>238</v>
      </c>
      <c r="E92" s="44" t="s">
        <v>327</v>
      </c>
      <c r="F92" s="45">
        <v>51.2</v>
      </c>
      <c r="G92" s="46">
        <v>15.72</v>
      </c>
      <c r="H92" s="46">
        <f t="shared" si="30"/>
        <v>19.88</v>
      </c>
      <c r="I92" s="46">
        <f t="shared" si="31"/>
        <v>804.86</v>
      </c>
      <c r="J92" s="52">
        <f t="shared" si="32"/>
        <v>1017.86</v>
      </c>
    </row>
    <row r="93" spans="1:10" ht="63" x14ac:dyDescent="0.25">
      <c r="A93" s="112" t="s">
        <v>421</v>
      </c>
      <c r="B93" s="44" t="s">
        <v>422</v>
      </c>
      <c r="C93" s="43" t="s">
        <v>423</v>
      </c>
      <c r="D93" s="44" t="s">
        <v>238</v>
      </c>
      <c r="E93" s="44" t="s">
        <v>327</v>
      </c>
      <c r="F93" s="45">
        <v>597.67999999999995</v>
      </c>
      <c r="G93" s="46">
        <v>4.6399999999999997</v>
      </c>
      <c r="H93" s="46">
        <f t="shared" si="30"/>
        <v>5.87</v>
      </c>
      <c r="I93" s="46">
        <f t="shared" si="31"/>
        <v>2773.24</v>
      </c>
      <c r="J93" s="52">
        <f t="shared" si="32"/>
        <v>3508.38</v>
      </c>
    </row>
    <row r="94" spans="1:10" ht="63" x14ac:dyDescent="0.25">
      <c r="A94" s="112" t="s">
        <v>424</v>
      </c>
      <c r="B94" s="44" t="s">
        <v>425</v>
      </c>
      <c r="C94" s="43" t="s">
        <v>426</v>
      </c>
      <c r="D94" s="44" t="s">
        <v>238</v>
      </c>
      <c r="E94" s="44" t="s">
        <v>327</v>
      </c>
      <c r="F94" s="45">
        <v>77.84</v>
      </c>
      <c r="G94" s="46">
        <v>9.01</v>
      </c>
      <c r="H94" s="46">
        <f t="shared" si="30"/>
        <v>11.4</v>
      </c>
      <c r="I94" s="46">
        <f t="shared" si="31"/>
        <v>701.34</v>
      </c>
      <c r="J94" s="52">
        <f t="shared" si="32"/>
        <v>887.38</v>
      </c>
    </row>
    <row r="95" spans="1:10" ht="94.5" x14ac:dyDescent="0.25">
      <c r="A95" s="112" t="s">
        <v>427</v>
      </c>
      <c r="B95" s="44" t="s">
        <v>428</v>
      </c>
      <c r="C95" s="43" t="s">
        <v>429</v>
      </c>
      <c r="D95" s="44" t="s">
        <v>238</v>
      </c>
      <c r="E95" s="44" t="s">
        <v>239</v>
      </c>
      <c r="F95" s="45">
        <v>8</v>
      </c>
      <c r="G95" s="46">
        <v>95.22</v>
      </c>
      <c r="H95" s="46">
        <f t="shared" si="30"/>
        <v>120.44</v>
      </c>
      <c r="I95" s="46">
        <f t="shared" si="31"/>
        <v>761.76</v>
      </c>
      <c r="J95" s="52">
        <f t="shared" si="32"/>
        <v>963.52</v>
      </c>
    </row>
    <row r="96" spans="1:10" ht="47.25" x14ac:dyDescent="0.25">
      <c r="A96" s="112" t="s">
        <v>430</v>
      </c>
      <c r="B96" s="44" t="s">
        <v>431</v>
      </c>
      <c r="C96" s="43" t="s">
        <v>432</v>
      </c>
      <c r="D96" s="44" t="s">
        <v>238</v>
      </c>
      <c r="E96" s="44" t="s">
        <v>239</v>
      </c>
      <c r="F96" s="45">
        <v>3</v>
      </c>
      <c r="G96" s="46">
        <v>18.3</v>
      </c>
      <c r="H96" s="46">
        <f t="shared" si="30"/>
        <v>23.15</v>
      </c>
      <c r="I96" s="46">
        <f t="shared" si="31"/>
        <v>54.9</v>
      </c>
      <c r="J96" s="52">
        <f t="shared" si="32"/>
        <v>69.45</v>
      </c>
    </row>
    <row r="97" spans="1:10" ht="47.25" x14ac:dyDescent="0.25">
      <c r="A97" s="112" t="s">
        <v>433</v>
      </c>
      <c r="B97" s="44" t="s">
        <v>434</v>
      </c>
      <c r="C97" s="43" t="s">
        <v>435</v>
      </c>
      <c r="D97" s="44" t="s">
        <v>238</v>
      </c>
      <c r="E97" s="44" t="s">
        <v>239</v>
      </c>
      <c r="F97" s="45">
        <v>4</v>
      </c>
      <c r="G97" s="46">
        <v>18.41</v>
      </c>
      <c r="H97" s="46">
        <f t="shared" si="30"/>
        <v>23.29</v>
      </c>
      <c r="I97" s="46">
        <f t="shared" si="31"/>
        <v>73.64</v>
      </c>
      <c r="J97" s="52">
        <f t="shared" si="32"/>
        <v>93.16</v>
      </c>
    </row>
    <row r="98" spans="1:10" ht="31.5" x14ac:dyDescent="0.25">
      <c r="A98" s="112" t="s">
        <v>436</v>
      </c>
      <c r="B98" s="44" t="s">
        <v>437</v>
      </c>
      <c r="C98" s="43" t="s">
        <v>438</v>
      </c>
      <c r="D98" s="44" t="s">
        <v>238</v>
      </c>
      <c r="E98" s="44" t="s">
        <v>239</v>
      </c>
      <c r="F98" s="45">
        <v>2</v>
      </c>
      <c r="G98" s="46">
        <v>40.880000000000003</v>
      </c>
      <c r="H98" s="46">
        <f t="shared" si="30"/>
        <v>51.71</v>
      </c>
      <c r="I98" s="46">
        <f t="shared" si="31"/>
        <v>81.760000000000005</v>
      </c>
      <c r="J98" s="52">
        <f t="shared" si="32"/>
        <v>103.42</v>
      </c>
    </row>
    <row r="99" spans="1:10" ht="31.5" x14ac:dyDescent="0.25">
      <c r="A99" s="112" t="s">
        <v>439</v>
      </c>
      <c r="B99" s="44" t="s">
        <v>440</v>
      </c>
      <c r="C99" s="43" t="s">
        <v>441</v>
      </c>
      <c r="D99" s="44" t="s">
        <v>238</v>
      </c>
      <c r="E99" s="44" t="s">
        <v>239</v>
      </c>
      <c r="F99" s="45">
        <v>1</v>
      </c>
      <c r="G99" s="46">
        <v>43.85</v>
      </c>
      <c r="H99" s="46">
        <f t="shared" si="30"/>
        <v>55.47</v>
      </c>
      <c r="I99" s="46">
        <f t="shared" si="31"/>
        <v>43.85</v>
      </c>
      <c r="J99" s="52">
        <f t="shared" si="32"/>
        <v>55.47</v>
      </c>
    </row>
    <row r="100" spans="1:10" ht="31.5" x14ac:dyDescent="0.25">
      <c r="A100" s="112" t="s">
        <v>442</v>
      </c>
      <c r="B100" s="44" t="s">
        <v>437</v>
      </c>
      <c r="C100" s="43" t="s">
        <v>438</v>
      </c>
      <c r="D100" s="44" t="s">
        <v>238</v>
      </c>
      <c r="E100" s="44" t="s">
        <v>239</v>
      </c>
      <c r="F100" s="45">
        <v>1</v>
      </c>
      <c r="G100" s="46">
        <v>40.880000000000003</v>
      </c>
      <c r="H100" s="46">
        <f t="shared" si="30"/>
        <v>51.71</v>
      </c>
      <c r="I100" s="46">
        <f t="shared" si="31"/>
        <v>40.880000000000003</v>
      </c>
      <c r="J100" s="52">
        <f t="shared" si="32"/>
        <v>51.71</v>
      </c>
    </row>
    <row r="101" spans="1:10" ht="31.5" x14ac:dyDescent="0.25">
      <c r="A101" s="112" t="s">
        <v>443</v>
      </c>
      <c r="B101" s="44" t="s">
        <v>444</v>
      </c>
      <c r="C101" s="43" t="s">
        <v>445</v>
      </c>
      <c r="D101" s="44" t="s">
        <v>238</v>
      </c>
      <c r="E101" s="44" t="s">
        <v>239</v>
      </c>
      <c r="F101" s="45">
        <v>2</v>
      </c>
      <c r="G101" s="46">
        <v>51.51</v>
      </c>
      <c r="H101" s="46">
        <f t="shared" si="30"/>
        <v>65.150000000000006</v>
      </c>
      <c r="I101" s="46">
        <f t="shared" si="31"/>
        <v>103.02</v>
      </c>
      <c r="J101" s="52">
        <f t="shared" si="32"/>
        <v>130.30000000000001</v>
      </c>
    </row>
    <row r="102" spans="1:10" ht="47.25" x14ac:dyDescent="0.25">
      <c r="A102" s="112" t="s">
        <v>446</v>
      </c>
      <c r="B102" s="44" t="s">
        <v>447</v>
      </c>
      <c r="C102" s="43" t="s">
        <v>448</v>
      </c>
      <c r="D102" s="44" t="s">
        <v>238</v>
      </c>
      <c r="E102" s="44" t="s">
        <v>239</v>
      </c>
      <c r="F102" s="45">
        <v>3</v>
      </c>
      <c r="G102" s="46">
        <v>47.27</v>
      </c>
      <c r="H102" s="46">
        <f t="shared" si="30"/>
        <v>59.79</v>
      </c>
      <c r="I102" s="46">
        <f t="shared" si="31"/>
        <v>141.81</v>
      </c>
      <c r="J102" s="52">
        <f t="shared" si="32"/>
        <v>179.37</v>
      </c>
    </row>
    <row r="103" spans="1:10" ht="63" x14ac:dyDescent="0.25">
      <c r="A103" s="112" t="s">
        <v>449</v>
      </c>
      <c r="B103" s="44" t="s">
        <v>450</v>
      </c>
      <c r="C103" s="43" t="s">
        <v>451</v>
      </c>
      <c r="D103" s="44" t="s">
        <v>238</v>
      </c>
      <c r="E103" s="44" t="s">
        <v>239</v>
      </c>
      <c r="F103" s="45">
        <v>1</v>
      </c>
      <c r="G103" s="46">
        <v>137.72</v>
      </c>
      <c r="H103" s="46">
        <f t="shared" si="30"/>
        <v>174.2</v>
      </c>
      <c r="I103" s="46">
        <f t="shared" si="31"/>
        <v>137.72</v>
      </c>
      <c r="J103" s="52">
        <f t="shared" si="32"/>
        <v>174.2</v>
      </c>
    </row>
    <row r="104" spans="1:10" ht="63" x14ac:dyDescent="0.25">
      <c r="A104" s="112" t="s">
        <v>452</v>
      </c>
      <c r="B104" s="44" t="s">
        <v>453</v>
      </c>
      <c r="C104" s="43" t="s">
        <v>454</v>
      </c>
      <c r="D104" s="44" t="s">
        <v>238</v>
      </c>
      <c r="E104" s="44" t="s">
        <v>239</v>
      </c>
      <c r="F104" s="45">
        <v>1</v>
      </c>
      <c r="G104" s="46">
        <v>183.73</v>
      </c>
      <c r="H104" s="46">
        <f t="shared" si="30"/>
        <v>232.4</v>
      </c>
      <c r="I104" s="46">
        <f t="shared" si="31"/>
        <v>183.73</v>
      </c>
      <c r="J104" s="52">
        <f t="shared" si="32"/>
        <v>232.4</v>
      </c>
    </row>
    <row r="105" spans="1:10" ht="63" x14ac:dyDescent="0.25">
      <c r="A105" s="112" t="s">
        <v>455</v>
      </c>
      <c r="B105" s="44" t="s">
        <v>456</v>
      </c>
      <c r="C105" s="43" t="s">
        <v>457</v>
      </c>
      <c r="D105" s="44" t="s">
        <v>238</v>
      </c>
      <c r="E105" s="44" t="s">
        <v>327</v>
      </c>
      <c r="F105" s="45">
        <v>88.39</v>
      </c>
      <c r="G105" s="46">
        <v>18.100000000000001</v>
      </c>
      <c r="H105" s="46">
        <f t="shared" si="30"/>
        <v>22.89</v>
      </c>
      <c r="I105" s="46">
        <f t="shared" si="31"/>
        <v>1599.86</v>
      </c>
      <c r="J105" s="52">
        <f t="shared" si="32"/>
        <v>2023.25</v>
      </c>
    </row>
    <row r="106" spans="1:10" ht="63" x14ac:dyDescent="0.25">
      <c r="A106" s="112" t="s">
        <v>458</v>
      </c>
      <c r="B106" s="44" t="s">
        <v>459</v>
      </c>
      <c r="C106" s="43" t="s">
        <v>460</v>
      </c>
      <c r="D106" s="44" t="s">
        <v>238</v>
      </c>
      <c r="E106" s="44" t="s">
        <v>327</v>
      </c>
      <c r="F106" s="45">
        <v>14.24</v>
      </c>
      <c r="G106" s="46">
        <v>19.489999999999998</v>
      </c>
      <c r="H106" s="46">
        <f t="shared" si="30"/>
        <v>24.65</v>
      </c>
      <c r="I106" s="46">
        <f t="shared" si="31"/>
        <v>277.54000000000002</v>
      </c>
      <c r="J106" s="52">
        <f t="shared" si="32"/>
        <v>351.02</v>
      </c>
    </row>
    <row r="107" spans="1:10" ht="63" x14ac:dyDescent="0.25">
      <c r="A107" s="112" t="s">
        <v>461</v>
      </c>
      <c r="B107" s="44" t="s">
        <v>462</v>
      </c>
      <c r="C107" s="43" t="s">
        <v>463</v>
      </c>
      <c r="D107" s="44" t="s">
        <v>238</v>
      </c>
      <c r="E107" s="44" t="s">
        <v>327</v>
      </c>
      <c r="F107" s="45">
        <v>12.38</v>
      </c>
      <c r="G107" s="46">
        <v>68.06</v>
      </c>
      <c r="H107" s="46">
        <f t="shared" si="30"/>
        <v>86.09</v>
      </c>
      <c r="I107" s="46">
        <f t="shared" si="31"/>
        <v>842.58</v>
      </c>
      <c r="J107" s="52">
        <f t="shared" si="32"/>
        <v>1065.79</v>
      </c>
    </row>
    <row r="108" spans="1:10" ht="63" x14ac:dyDescent="0.25">
      <c r="A108" s="112" t="s">
        <v>464</v>
      </c>
      <c r="B108" s="44" t="s">
        <v>465</v>
      </c>
      <c r="C108" s="43" t="s">
        <v>466</v>
      </c>
      <c r="D108" s="44" t="s">
        <v>238</v>
      </c>
      <c r="E108" s="44" t="s">
        <v>327</v>
      </c>
      <c r="F108" s="45">
        <v>30</v>
      </c>
      <c r="G108" s="46">
        <v>3.52</v>
      </c>
      <c r="H108" s="46">
        <f t="shared" si="30"/>
        <v>4.45</v>
      </c>
      <c r="I108" s="46">
        <f t="shared" si="31"/>
        <v>105.6</v>
      </c>
      <c r="J108" s="52">
        <f t="shared" si="32"/>
        <v>133.5</v>
      </c>
    </row>
    <row r="109" spans="1:10" ht="63" x14ac:dyDescent="0.25">
      <c r="A109" s="112" t="s">
        <v>467</v>
      </c>
      <c r="B109" s="44" t="s">
        <v>468</v>
      </c>
      <c r="C109" s="43" t="s">
        <v>469</v>
      </c>
      <c r="D109" s="44" t="s">
        <v>238</v>
      </c>
      <c r="E109" s="44" t="s">
        <v>327</v>
      </c>
      <c r="F109" s="45">
        <v>208.35</v>
      </c>
      <c r="G109" s="46">
        <f>0.9*25.66</f>
        <v>23.094000000000001</v>
      </c>
      <c r="H109" s="46">
        <f t="shared" si="30"/>
        <v>29.21</v>
      </c>
      <c r="I109" s="46">
        <f t="shared" si="31"/>
        <v>4811.63</v>
      </c>
      <c r="J109" s="52">
        <f t="shared" si="32"/>
        <v>6085.9</v>
      </c>
    </row>
    <row r="110" spans="1:10" ht="63" x14ac:dyDescent="0.25">
      <c r="A110" s="112" t="s">
        <v>470</v>
      </c>
      <c r="B110" s="44" t="s">
        <v>471</v>
      </c>
      <c r="C110" s="43" t="s">
        <v>472</v>
      </c>
      <c r="D110" s="44" t="s">
        <v>238</v>
      </c>
      <c r="E110" s="44" t="s">
        <v>239</v>
      </c>
      <c r="F110" s="45">
        <v>27</v>
      </c>
      <c r="G110" s="46">
        <v>92.74</v>
      </c>
      <c r="H110" s="46">
        <f t="shared" si="30"/>
        <v>117.31</v>
      </c>
      <c r="I110" s="46">
        <f t="shared" si="31"/>
        <v>2503.98</v>
      </c>
      <c r="J110" s="52">
        <f t="shared" si="32"/>
        <v>3167.37</v>
      </c>
    </row>
    <row r="111" spans="1:10" ht="47.25" x14ac:dyDescent="0.25">
      <c r="A111" s="112" t="s">
        <v>473</v>
      </c>
      <c r="B111" s="44" t="s">
        <v>474</v>
      </c>
      <c r="C111" s="43" t="s">
        <v>475</v>
      </c>
      <c r="D111" s="44" t="s">
        <v>238</v>
      </c>
      <c r="E111" s="44" t="s">
        <v>239</v>
      </c>
      <c r="F111" s="45">
        <v>1</v>
      </c>
      <c r="G111" s="46">
        <v>694.72</v>
      </c>
      <c r="H111" s="46">
        <f t="shared" si="30"/>
        <v>878.75</v>
      </c>
      <c r="I111" s="46">
        <f t="shared" si="31"/>
        <v>694.72</v>
      </c>
      <c r="J111" s="52">
        <f t="shared" si="32"/>
        <v>878.75</v>
      </c>
    </row>
    <row r="112" spans="1:10" ht="78.75" x14ac:dyDescent="0.25">
      <c r="A112" s="112" t="s">
        <v>476</v>
      </c>
      <c r="B112" s="44" t="s">
        <v>477</v>
      </c>
      <c r="C112" s="43" t="s">
        <v>478</v>
      </c>
      <c r="D112" s="44" t="s">
        <v>238</v>
      </c>
      <c r="E112" s="44" t="s">
        <v>239</v>
      </c>
      <c r="F112" s="45">
        <v>1</v>
      </c>
      <c r="G112" s="46">
        <v>2725.55</v>
      </c>
      <c r="H112" s="46">
        <f t="shared" si="30"/>
        <v>3447.55</v>
      </c>
      <c r="I112" s="46">
        <f t="shared" si="31"/>
        <v>2725.55</v>
      </c>
      <c r="J112" s="52">
        <f t="shared" si="32"/>
        <v>3447.55</v>
      </c>
    </row>
    <row r="113" spans="1:10" ht="15.75" x14ac:dyDescent="0.25">
      <c r="A113" s="111" t="s">
        <v>479</v>
      </c>
      <c r="B113" s="137" t="s">
        <v>480</v>
      </c>
      <c r="C113" s="137"/>
      <c r="D113" s="137"/>
      <c r="E113" s="137"/>
      <c r="F113" s="137"/>
      <c r="G113" s="137"/>
      <c r="H113" s="137"/>
      <c r="I113" s="42">
        <f>ROUND(SUM(I114:I122),2)</f>
        <v>5159.6899999999996</v>
      </c>
      <c r="J113" s="51">
        <f>ROUND(SUM(J114:J122),2)</f>
        <v>6526.41</v>
      </c>
    </row>
    <row r="114" spans="1:10" ht="78.75" x14ac:dyDescent="0.25">
      <c r="A114" s="112" t="s">
        <v>481</v>
      </c>
      <c r="B114" s="44" t="s">
        <v>482</v>
      </c>
      <c r="C114" s="43" t="s">
        <v>483</v>
      </c>
      <c r="D114" s="44" t="s">
        <v>238</v>
      </c>
      <c r="E114" s="44" t="s">
        <v>239</v>
      </c>
      <c r="F114" s="45">
        <v>2</v>
      </c>
      <c r="G114" s="46">
        <v>233.05</v>
      </c>
      <c r="H114" s="46">
        <f>ROUND(SUM(G114*(1+$J$6)),2)</f>
        <v>294.77999999999997</v>
      </c>
      <c r="I114" s="46">
        <f>ROUND(SUM(F114*G114),2)</f>
        <v>466.1</v>
      </c>
      <c r="J114" s="52">
        <f>ROUND(SUM(F114*H114),2)</f>
        <v>589.55999999999995</v>
      </c>
    </row>
    <row r="115" spans="1:10" ht="31.5" x14ac:dyDescent="0.25">
      <c r="A115" s="112" t="s">
        <v>484</v>
      </c>
      <c r="B115" s="44" t="s">
        <v>485</v>
      </c>
      <c r="C115" s="43" t="s">
        <v>486</v>
      </c>
      <c r="D115" s="44" t="s">
        <v>238</v>
      </c>
      <c r="E115" s="44" t="s">
        <v>239</v>
      </c>
      <c r="F115" s="45">
        <v>4</v>
      </c>
      <c r="G115" s="46">
        <v>95.57</v>
      </c>
      <c r="H115" s="46">
        <f t="shared" ref="H115:H122" si="33">ROUND(SUM(G115*(1+$J$6)),2)</f>
        <v>120.89</v>
      </c>
      <c r="I115" s="46">
        <f t="shared" ref="I115:I122" si="34">ROUND(SUM(F115*G115),2)</f>
        <v>382.28</v>
      </c>
      <c r="J115" s="52">
        <f t="shared" ref="J115:J122" si="35">ROUND(SUM(F115*H115),2)</f>
        <v>483.56</v>
      </c>
    </row>
    <row r="116" spans="1:10" ht="15.75" x14ac:dyDescent="0.25">
      <c r="A116" s="112" t="s">
        <v>487</v>
      </c>
      <c r="B116" s="44" t="s">
        <v>488</v>
      </c>
      <c r="C116" s="43" t="s">
        <v>489</v>
      </c>
      <c r="D116" s="44" t="s">
        <v>238</v>
      </c>
      <c r="E116" s="44" t="s">
        <v>239</v>
      </c>
      <c r="F116" s="45">
        <v>1</v>
      </c>
      <c r="G116" s="46">
        <v>46.56</v>
      </c>
      <c r="H116" s="46">
        <f t="shared" si="33"/>
        <v>58.89</v>
      </c>
      <c r="I116" s="46">
        <f t="shared" si="34"/>
        <v>46.56</v>
      </c>
      <c r="J116" s="52">
        <f t="shared" si="35"/>
        <v>58.89</v>
      </c>
    </row>
    <row r="117" spans="1:10" ht="47.25" x14ac:dyDescent="0.25">
      <c r="A117" s="112" t="s">
        <v>490</v>
      </c>
      <c r="B117" s="44" t="s">
        <v>491</v>
      </c>
      <c r="C117" s="43" t="s">
        <v>492</v>
      </c>
      <c r="D117" s="44" t="s">
        <v>238</v>
      </c>
      <c r="E117" s="44" t="s">
        <v>327</v>
      </c>
      <c r="F117" s="45">
        <v>20.22</v>
      </c>
      <c r="G117" s="46">
        <v>47.38</v>
      </c>
      <c r="H117" s="46">
        <f t="shared" si="33"/>
        <v>59.93</v>
      </c>
      <c r="I117" s="46">
        <f t="shared" si="34"/>
        <v>958.02</v>
      </c>
      <c r="J117" s="52">
        <f t="shared" si="35"/>
        <v>1211.78</v>
      </c>
    </row>
    <row r="118" spans="1:10" ht="47.25" x14ac:dyDescent="0.25">
      <c r="A118" s="112" t="s">
        <v>493</v>
      </c>
      <c r="B118" s="44" t="s">
        <v>494</v>
      </c>
      <c r="C118" s="43" t="s">
        <v>495</v>
      </c>
      <c r="D118" s="44" t="s">
        <v>238</v>
      </c>
      <c r="E118" s="44" t="s">
        <v>327</v>
      </c>
      <c r="F118" s="45">
        <v>1.5</v>
      </c>
      <c r="G118" s="46">
        <v>75.3</v>
      </c>
      <c r="H118" s="46">
        <f t="shared" si="33"/>
        <v>95.25</v>
      </c>
      <c r="I118" s="46">
        <f t="shared" si="34"/>
        <v>112.95</v>
      </c>
      <c r="J118" s="52">
        <f t="shared" si="35"/>
        <v>142.88</v>
      </c>
    </row>
    <row r="119" spans="1:10" ht="47.25" x14ac:dyDescent="0.25">
      <c r="A119" s="112" t="s">
        <v>496</v>
      </c>
      <c r="B119" s="44" t="s">
        <v>497</v>
      </c>
      <c r="C119" s="43" t="s">
        <v>498</v>
      </c>
      <c r="D119" s="44" t="s">
        <v>238</v>
      </c>
      <c r="E119" s="44" t="s">
        <v>327</v>
      </c>
      <c r="F119" s="45">
        <v>12.56</v>
      </c>
      <c r="G119" s="46">
        <v>26.66</v>
      </c>
      <c r="H119" s="46">
        <f t="shared" si="33"/>
        <v>33.72</v>
      </c>
      <c r="I119" s="46">
        <f t="shared" si="34"/>
        <v>334.85</v>
      </c>
      <c r="J119" s="52">
        <f t="shared" si="35"/>
        <v>423.52</v>
      </c>
    </row>
    <row r="120" spans="1:10" ht="47.25" x14ac:dyDescent="0.25">
      <c r="A120" s="112" t="s">
        <v>499</v>
      </c>
      <c r="B120" s="44" t="s">
        <v>500</v>
      </c>
      <c r="C120" s="43" t="s">
        <v>501</v>
      </c>
      <c r="D120" s="44" t="s">
        <v>238</v>
      </c>
      <c r="E120" s="44" t="s">
        <v>327</v>
      </c>
      <c r="F120" s="45">
        <v>4.1500000000000004</v>
      </c>
      <c r="G120" s="46">
        <v>80.27</v>
      </c>
      <c r="H120" s="46">
        <f t="shared" si="33"/>
        <v>101.53</v>
      </c>
      <c r="I120" s="46">
        <f t="shared" si="34"/>
        <v>333.12</v>
      </c>
      <c r="J120" s="52">
        <f t="shared" si="35"/>
        <v>421.35</v>
      </c>
    </row>
    <row r="121" spans="1:10" ht="47.25" x14ac:dyDescent="0.25">
      <c r="A121" s="112" t="s">
        <v>502</v>
      </c>
      <c r="B121" s="44" t="s">
        <v>503</v>
      </c>
      <c r="C121" s="43" t="s">
        <v>504</v>
      </c>
      <c r="D121" s="44" t="s">
        <v>238</v>
      </c>
      <c r="E121" s="44" t="s">
        <v>239</v>
      </c>
      <c r="F121" s="45">
        <v>1</v>
      </c>
      <c r="G121" s="46">
        <v>2092.35</v>
      </c>
      <c r="H121" s="46">
        <f t="shared" si="33"/>
        <v>2646.61</v>
      </c>
      <c r="I121" s="46">
        <f t="shared" si="34"/>
        <v>2092.35</v>
      </c>
      <c r="J121" s="52">
        <f t="shared" si="35"/>
        <v>2646.61</v>
      </c>
    </row>
    <row r="122" spans="1:10" ht="47.25" x14ac:dyDescent="0.25">
      <c r="A122" s="112" t="s">
        <v>505</v>
      </c>
      <c r="B122" s="44" t="s">
        <v>500</v>
      </c>
      <c r="C122" s="43" t="s">
        <v>501</v>
      </c>
      <c r="D122" s="44" t="s">
        <v>238</v>
      </c>
      <c r="E122" s="44" t="s">
        <v>327</v>
      </c>
      <c r="F122" s="45">
        <v>5.4</v>
      </c>
      <c r="G122" s="46">
        <v>80.27</v>
      </c>
      <c r="H122" s="46">
        <f t="shared" si="33"/>
        <v>101.53</v>
      </c>
      <c r="I122" s="46">
        <f t="shared" si="34"/>
        <v>433.46</v>
      </c>
      <c r="J122" s="52">
        <f t="shared" si="35"/>
        <v>548.26</v>
      </c>
    </row>
    <row r="123" spans="1:10" ht="15.75" x14ac:dyDescent="0.25">
      <c r="A123" s="111" t="s">
        <v>506</v>
      </c>
      <c r="B123" s="137" t="s">
        <v>507</v>
      </c>
      <c r="C123" s="137"/>
      <c r="D123" s="137"/>
      <c r="E123" s="137"/>
      <c r="F123" s="137"/>
      <c r="G123" s="137"/>
      <c r="H123" s="137"/>
      <c r="I123" s="42">
        <f>ROUND(SUM(I124:I137),2)</f>
        <v>6672.41</v>
      </c>
      <c r="J123" s="51">
        <f>ROUND(SUM(J124:J137),2)</f>
        <v>8440.0400000000009</v>
      </c>
    </row>
    <row r="124" spans="1:10" ht="31.5" x14ac:dyDescent="0.25">
      <c r="A124" s="112" t="s">
        <v>508</v>
      </c>
      <c r="B124" s="44" t="s">
        <v>509</v>
      </c>
      <c r="C124" s="43" t="s">
        <v>510</v>
      </c>
      <c r="D124" s="44" t="s">
        <v>238</v>
      </c>
      <c r="E124" s="44" t="s">
        <v>239</v>
      </c>
      <c r="F124" s="45">
        <v>2</v>
      </c>
      <c r="G124" s="46">
        <v>25.56</v>
      </c>
      <c r="H124" s="46">
        <f>ROUND(SUM(G124*(1+$J$6)),2)</f>
        <v>32.33</v>
      </c>
      <c r="I124" s="46">
        <f>ROUND(SUM(F124*G124),2)</f>
        <v>51.12</v>
      </c>
      <c r="J124" s="52">
        <f>ROUND(SUM(F124*H124),2)</f>
        <v>64.66</v>
      </c>
    </row>
    <row r="125" spans="1:10" ht="31.5" x14ac:dyDescent="0.25">
      <c r="A125" s="112" t="s">
        <v>511</v>
      </c>
      <c r="B125" s="44" t="s">
        <v>512</v>
      </c>
      <c r="C125" s="43" t="s">
        <v>513</v>
      </c>
      <c r="D125" s="44" t="s">
        <v>238</v>
      </c>
      <c r="E125" s="44" t="s">
        <v>239</v>
      </c>
      <c r="F125" s="45">
        <v>2</v>
      </c>
      <c r="G125" s="46">
        <v>25.09</v>
      </c>
      <c r="H125" s="46">
        <f t="shared" ref="H125:H137" si="36">ROUND(SUM(G125*(1+$J$6)),2)</f>
        <v>31.74</v>
      </c>
      <c r="I125" s="46">
        <f t="shared" ref="I125:I137" si="37">ROUND(SUM(F125*G125),2)</f>
        <v>50.18</v>
      </c>
      <c r="J125" s="52">
        <f t="shared" ref="J125:J137" si="38">ROUND(SUM(F125*H125),2)</f>
        <v>63.48</v>
      </c>
    </row>
    <row r="126" spans="1:10" ht="63" x14ac:dyDescent="0.25">
      <c r="A126" s="112" t="s">
        <v>514</v>
      </c>
      <c r="B126" s="44" t="s">
        <v>515</v>
      </c>
      <c r="C126" s="43" t="s">
        <v>516</v>
      </c>
      <c r="D126" s="44" t="s">
        <v>238</v>
      </c>
      <c r="E126" s="44" t="s">
        <v>239</v>
      </c>
      <c r="F126" s="45">
        <v>2</v>
      </c>
      <c r="G126" s="46">
        <v>1010.96</v>
      </c>
      <c r="H126" s="46">
        <f t="shared" si="36"/>
        <v>1278.76</v>
      </c>
      <c r="I126" s="46">
        <f t="shared" si="37"/>
        <v>2021.92</v>
      </c>
      <c r="J126" s="52">
        <f t="shared" si="38"/>
        <v>2557.52</v>
      </c>
    </row>
    <row r="127" spans="1:10" ht="47.25" x14ac:dyDescent="0.25">
      <c r="A127" s="112" t="s">
        <v>517</v>
      </c>
      <c r="B127" s="44" t="s">
        <v>518</v>
      </c>
      <c r="C127" s="43" t="s">
        <v>519</v>
      </c>
      <c r="D127" s="44" t="s">
        <v>238</v>
      </c>
      <c r="E127" s="44" t="s">
        <v>327</v>
      </c>
      <c r="F127" s="45">
        <v>13.18</v>
      </c>
      <c r="G127" s="46">
        <v>41.07</v>
      </c>
      <c r="H127" s="46">
        <f t="shared" si="36"/>
        <v>51.95</v>
      </c>
      <c r="I127" s="46">
        <f t="shared" si="37"/>
        <v>541.29999999999995</v>
      </c>
      <c r="J127" s="52">
        <f t="shared" si="38"/>
        <v>684.7</v>
      </c>
    </row>
    <row r="128" spans="1:10" ht="31.5" x14ac:dyDescent="0.25">
      <c r="A128" s="112" t="s">
        <v>520</v>
      </c>
      <c r="B128" s="44" t="s">
        <v>521</v>
      </c>
      <c r="C128" s="43" t="s">
        <v>522</v>
      </c>
      <c r="D128" s="44" t="s">
        <v>238</v>
      </c>
      <c r="E128" s="44" t="s">
        <v>239</v>
      </c>
      <c r="F128" s="45">
        <v>3</v>
      </c>
      <c r="G128" s="46">
        <v>39.78</v>
      </c>
      <c r="H128" s="46">
        <f t="shared" si="36"/>
        <v>50.32</v>
      </c>
      <c r="I128" s="46">
        <f t="shared" si="37"/>
        <v>119.34</v>
      </c>
      <c r="J128" s="52">
        <f t="shared" si="38"/>
        <v>150.96</v>
      </c>
    </row>
    <row r="129" spans="1:10" ht="47.25" x14ac:dyDescent="0.25">
      <c r="A129" s="112" t="s">
        <v>523</v>
      </c>
      <c r="B129" s="44" t="s">
        <v>518</v>
      </c>
      <c r="C129" s="43" t="s">
        <v>519</v>
      </c>
      <c r="D129" s="44" t="s">
        <v>238</v>
      </c>
      <c r="E129" s="44" t="s">
        <v>327</v>
      </c>
      <c r="F129" s="45">
        <v>3.89</v>
      </c>
      <c r="G129" s="46">
        <v>41.07</v>
      </c>
      <c r="H129" s="46">
        <f t="shared" si="36"/>
        <v>51.95</v>
      </c>
      <c r="I129" s="46">
        <f t="shared" si="37"/>
        <v>159.76</v>
      </c>
      <c r="J129" s="52">
        <f t="shared" si="38"/>
        <v>202.09</v>
      </c>
    </row>
    <row r="130" spans="1:10" ht="47.25" x14ac:dyDescent="0.25">
      <c r="A130" s="112" t="s">
        <v>524</v>
      </c>
      <c r="B130" s="44" t="s">
        <v>525</v>
      </c>
      <c r="C130" s="43" t="s">
        <v>526</v>
      </c>
      <c r="D130" s="44" t="s">
        <v>238</v>
      </c>
      <c r="E130" s="44" t="s">
        <v>327</v>
      </c>
      <c r="F130" s="45">
        <v>7.98</v>
      </c>
      <c r="G130" s="46">
        <v>74.58</v>
      </c>
      <c r="H130" s="46">
        <f t="shared" si="36"/>
        <v>94.34</v>
      </c>
      <c r="I130" s="46">
        <f t="shared" si="37"/>
        <v>595.15</v>
      </c>
      <c r="J130" s="52">
        <f t="shared" si="38"/>
        <v>752.83</v>
      </c>
    </row>
    <row r="131" spans="1:10" ht="47.25" x14ac:dyDescent="0.25">
      <c r="A131" s="112" t="s">
        <v>527</v>
      </c>
      <c r="B131" s="44" t="s">
        <v>518</v>
      </c>
      <c r="C131" s="43" t="s">
        <v>519</v>
      </c>
      <c r="D131" s="44" t="s">
        <v>238</v>
      </c>
      <c r="E131" s="44" t="s">
        <v>327</v>
      </c>
      <c r="F131" s="45">
        <v>10.220000000000001</v>
      </c>
      <c r="G131" s="46">
        <v>41.07</v>
      </c>
      <c r="H131" s="46">
        <f t="shared" si="36"/>
        <v>51.95</v>
      </c>
      <c r="I131" s="46">
        <f t="shared" si="37"/>
        <v>419.74</v>
      </c>
      <c r="J131" s="52">
        <f t="shared" si="38"/>
        <v>530.92999999999995</v>
      </c>
    </row>
    <row r="132" spans="1:10" ht="31.5" x14ac:dyDescent="0.25">
      <c r="A132" s="112" t="s">
        <v>528</v>
      </c>
      <c r="B132" s="44" t="s">
        <v>529</v>
      </c>
      <c r="C132" s="43" t="s">
        <v>13</v>
      </c>
      <c r="D132" s="44" t="s">
        <v>238</v>
      </c>
      <c r="E132" s="44" t="s">
        <v>239</v>
      </c>
      <c r="F132" s="45">
        <v>1</v>
      </c>
      <c r="G132" s="46">
        <v>135.09</v>
      </c>
      <c r="H132" s="46">
        <f t="shared" si="36"/>
        <v>170.88</v>
      </c>
      <c r="I132" s="46">
        <f t="shared" si="37"/>
        <v>135.09</v>
      </c>
      <c r="J132" s="52">
        <f t="shared" si="38"/>
        <v>170.88</v>
      </c>
    </row>
    <row r="133" spans="1:10" ht="47.25" x14ac:dyDescent="0.25">
      <c r="A133" s="112" t="s">
        <v>530</v>
      </c>
      <c r="B133" s="44" t="s">
        <v>531</v>
      </c>
      <c r="C133" s="43" t="s">
        <v>532</v>
      </c>
      <c r="D133" s="44" t="s">
        <v>238</v>
      </c>
      <c r="E133" s="44" t="s">
        <v>239</v>
      </c>
      <c r="F133" s="45">
        <v>7</v>
      </c>
      <c r="G133" s="46">
        <v>106.9</v>
      </c>
      <c r="H133" s="46">
        <f t="shared" si="36"/>
        <v>135.22</v>
      </c>
      <c r="I133" s="46">
        <f t="shared" si="37"/>
        <v>748.3</v>
      </c>
      <c r="J133" s="52">
        <f t="shared" si="38"/>
        <v>946.54</v>
      </c>
    </row>
    <row r="134" spans="1:10" ht="63" x14ac:dyDescent="0.25">
      <c r="A134" s="112" t="s">
        <v>533</v>
      </c>
      <c r="B134" s="44" t="s">
        <v>534</v>
      </c>
      <c r="C134" s="43" t="s">
        <v>535</v>
      </c>
      <c r="D134" s="44" t="s">
        <v>238</v>
      </c>
      <c r="E134" s="44" t="s">
        <v>239</v>
      </c>
      <c r="F134" s="45">
        <v>3</v>
      </c>
      <c r="G134" s="46">
        <v>186.77</v>
      </c>
      <c r="H134" s="46">
        <f t="shared" si="36"/>
        <v>236.25</v>
      </c>
      <c r="I134" s="46">
        <f t="shared" si="37"/>
        <v>560.30999999999995</v>
      </c>
      <c r="J134" s="52">
        <f t="shared" si="38"/>
        <v>708.75</v>
      </c>
    </row>
    <row r="135" spans="1:10" ht="47.25" x14ac:dyDescent="0.25">
      <c r="A135" s="112" t="s">
        <v>536</v>
      </c>
      <c r="B135" s="44" t="s">
        <v>537</v>
      </c>
      <c r="C135" s="43" t="s">
        <v>538</v>
      </c>
      <c r="D135" s="44" t="s">
        <v>238</v>
      </c>
      <c r="E135" s="44" t="s">
        <v>239</v>
      </c>
      <c r="F135" s="45">
        <v>2</v>
      </c>
      <c r="G135" s="46">
        <v>97.67</v>
      </c>
      <c r="H135" s="46">
        <f t="shared" si="36"/>
        <v>123.54</v>
      </c>
      <c r="I135" s="46">
        <f t="shared" si="37"/>
        <v>195.34</v>
      </c>
      <c r="J135" s="52">
        <f t="shared" si="38"/>
        <v>247.08</v>
      </c>
    </row>
    <row r="136" spans="1:10" ht="47.25" x14ac:dyDescent="0.25">
      <c r="A136" s="112" t="s">
        <v>539</v>
      </c>
      <c r="B136" s="44" t="s">
        <v>518</v>
      </c>
      <c r="C136" s="43" t="s">
        <v>519</v>
      </c>
      <c r="D136" s="44" t="s">
        <v>238</v>
      </c>
      <c r="E136" s="44" t="s">
        <v>327</v>
      </c>
      <c r="F136" s="45">
        <v>17.8</v>
      </c>
      <c r="G136" s="46">
        <v>41.07</v>
      </c>
      <c r="H136" s="46">
        <f t="shared" si="36"/>
        <v>51.95</v>
      </c>
      <c r="I136" s="46">
        <f t="shared" si="37"/>
        <v>731.05</v>
      </c>
      <c r="J136" s="52">
        <f t="shared" si="38"/>
        <v>924.71</v>
      </c>
    </row>
    <row r="137" spans="1:10" ht="47.25" x14ac:dyDescent="0.25">
      <c r="A137" s="112" t="s">
        <v>540</v>
      </c>
      <c r="B137" s="44" t="s">
        <v>525</v>
      </c>
      <c r="C137" s="43" t="s">
        <v>526</v>
      </c>
      <c r="D137" s="44" t="s">
        <v>238</v>
      </c>
      <c r="E137" s="44" t="s">
        <v>327</v>
      </c>
      <c r="F137" s="45">
        <v>4.6100000000000003</v>
      </c>
      <c r="G137" s="46">
        <v>74.58</v>
      </c>
      <c r="H137" s="46">
        <f t="shared" si="36"/>
        <v>94.34</v>
      </c>
      <c r="I137" s="46">
        <f t="shared" si="37"/>
        <v>343.81</v>
      </c>
      <c r="J137" s="52">
        <f t="shared" si="38"/>
        <v>434.91</v>
      </c>
    </row>
    <row r="138" spans="1:10" ht="15.75" x14ac:dyDescent="0.25">
      <c r="A138" s="111" t="s">
        <v>541</v>
      </c>
      <c r="B138" s="137" t="s">
        <v>58</v>
      </c>
      <c r="C138" s="137"/>
      <c r="D138" s="137"/>
      <c r="E138" s="137"/>
      <c r="F138" s="137"/>
      <c r="G138" s="137"/>
      <c r="H138" s="137"/>
      <c r="I138" s="42">
        <f>ROUND(SUM(I139:I139),2)</f>
        <v>1272.95</v>
      </c>
      <c r="J138" s="51">
        <f>ROUND(SUM(J139:J139),2)</f>
        <v>1610.15</v>
      </c>
    </row>
    <row r="139" spans="1:10" ht="32.25" thickBot="1" x14ac:dyDescent="0.3">
      <c r="A139" s="191" t="s">
        <v>542</v>
      </c>
      <c r="B139" s="192" t="s">
        <v>543</v>
      </c>
      <c r="C139" s="193" t="s">
        <v>544</v>
      </c>
      <c r="D139" s="192" t="s">
        <v>238</v>
      </c>
      <c r="E139" s="192" t="s">
        <v>239</v>
      </c>
      <c r="F139" s="194">
        <v>1</v>
      </c>
      <c r="G139" s="195">
        <v>1272.95</v>
      </c>
      <c r="H139" s="195">
        <f>ROUND(SUM(G139*(1+$J$6)),2)</f>
        <v>1610.15</v>
      </c>
      <c r="I139" s="195">
        <f>ROUND(SUM(F139*G139),2)</f>
        <v>1272.95</v>
      </c>
      <c r="J139" s="196">
        <f>ROUND(SUM(F139*H139),2)</f>
        <v>1610.15</v>
      </c>
    </row>
    <row r="140" spans="1:10" ht="19.5" thickBot="1" x14ac:dyDescent="0.35">
      <c r="A140" s="53"/>
      <c r="B140" s="54"/>
      <c r="C140" s="54"/>
      <c r="D140" s="54"/>
      <c r="E140" s="54"/>
      <c r="F140" s="54"/>
      <c r="G140" s="54"/>
      <c r="H140" s="54"/>
      <c r="I140" s="54"/>
      <c r="J140" s="190">
        <f>ROUND(SUM(J10),2)</f>
        <v>263575.52</v>
      </c>
    </row>
    <row r="141" spans="1:10" x14ac:dyDescent="0.25">
      <c r="A141" s="53"/>
      <c r="B141" s="54"/>
      <c r="C141" s="54"/>
      <c r="D141" s="54"/>
      <c r="E141" s="54"/>
      <c r="F141" s="54"/>
      <c r="G141" s="54"/>
      <c r="H141" s="54"/>
      <c r="I141" s="54"/>
      <c r="J141" s="55"/>
    </row>
    <row r="142" spans="1:10" x14ac:dyDescent="0.25">
      <c r="A142" s="53"/>
      <c r="B142" s="54"/>
      <c r="C142" s="54"/>
      <c r="D142" s="54"/>
      <c r="E142" s="54"/>
      <c r="F142" s="54"/>
      <c r="G142" s="54"/>
      <c r="H142" s="54"/>
      <c r="I142" s="54"/>
      <c r="J142" s="55"/>
    </row>
    <row r="143" spans="1:10" ht="15.75" x14ac:dyDescent="0.25">
      <c r="A143" s="180"/>
      <c r="B143" s="181"/>
      <c r="C143" s="181"/>
      <c r="D143" s="181"/>
      <c r="E143" s="181"/>
      <c r="F143" s="181"/>
      <c r="G143" s="181"/>
      <c r="H143" s="181"/>
      <c r="I143" s="181"/>
      <c r="J143" s="182"/>
    </row>
    <row r="144" spans="1:10" ht="15.75" x14ac:dyDescent="0.25">
      <c r="A144" s="180"/>
      <c r="B144" s="181"/>
      <c r="C144" s="181"/>
      <c r="D144" s="181"/>
      <c r="E144" s="181"/>
      <c r="F144" s="181"/>
      <c r="G144" s="181"/>
      <c r="H144" s="181"/>
      <c r="I144" s="181"/>
      <c r="J144" s="182"/>
    </row>
    <row r="145" spans="1:10" ht="15.75" x14ac:dyDescent="0.25">
      <c r="A145" s="180"/>
      <c r="B145" s="181"/>
      <c r="C145" s="181"/>
      <c r="D145" s="181"/>
      <c r="E145" s="181"/>
      <c r="F145" s="181"/>
      <c r="G145" s="181"/>
      <c r="H145" s="181"/>
      <c r="I145" s="181"/>
      <c r="J145" s="182"/>
    </row>
    <row r="146" spans="1:10" ht="15.75" x14ac:dyDescent="0.25">
      <c r="A146" s="180"/>
      <c r="B146" s="181"/>
      <c r="C146" s="188" t="s">
        <v>587</v>
      </c>
      <c r="D146" s="181"/>
      <c r="E146" s="181"/>
      <c r="F146" s="189" t="s">
        <v>589</v>
      </c>
      <c r="G146" s="189"/>
      <c r="H146" s="189"/>
      <c r="I146" s="189"/>
      <c r="J146" s="182"/>
    </row>
    <row r="147" spans="1:10" ht="15.75" x14ac:dyDescent="0.25">
      <c r="A147" s="180"/>
      <c r="B147" s="181"/>
      <c r="C147" s="187" t="s">
        <v>588</v>
      </c>
      <c r="D147" s="181"/>
      <c r="E147" s="181"/>
      <c r="F147" s="183" t="s">
        <v>590</v>
      </c>
      <c r="G147" s="183"/>
      <c r="H147" s="183"/>
      <c r="I147" s="183"/>
      <c r="J147" s="182"/>
    </row>
    <row r="148" spans="1:10" ht="15.75" x14ac:dyDescent="0.25">
      <c r="A148" s="180"/>
      <c r="B148" s="181"/>
      <c r="C148" s="181"/>
      <c r="D148" s="181"/>
      <c r="E148" s="181"/>
      <c r="F148" s="181"/>
      <c r="G148" s="181"/>
      <c r="H148" s="181"/>
      <c r="I148" s="181"/>
      <c r="J148" s="182"/>
    </row>
    <row r="149" spans="1:10" ht="15.75" x14ac:dyDescent="0.25">
      <c r="A149" s="180"/>
      <c r="B149" s="181"/>
      <c r="C149" s="181"/>
      <c r="D149" s="181"/>
      <c r="E149" s="181"/>
      <c r="F149" s="181"/>
      <c r="G149" s="181"/>
      <c r="H149" s="181"/>
      <c r="I149" s="181"/>
      <c r="J149" s="182"/>
    </row>
    <row r="150" spans="1:10" ht="15.75" x14ac:dyDescent="0.25">
      <c r="A150" s="180"/>
      <c r="B150" s="181"/>
      <c r="C150" s="181"/>
      <c r="D150" s="181"/>
      <c r="E150" s="181"/>
      <c r="F150" s="181"/>
      <c r="G150" s="181"/>
      <c r="H150" s="181"/>
      <c r="I150" s="181"/>
      <c r="J150" s="182"/>
    </row>
    <row r="151" spans="1:10" ht="16.5" thickBot="1" x14ac:dyDescent="0.3">
      <c r="A151" s="184"/>
      <c r="B151" s="185"/>
      <c r="C151" s="185"/>
      <c r="D151" s="185"/>
      <c r="E151" s="185"/>
      <c r="F151" s="185"/>
      <c r="G151" s="185"/>
      <c r="H151" s="185"/>
      <c r="I151" s="185"/>
      <c r="J151" s="186"/>
    </row>
  </sheetData>
  <mergeCells count="45">
    <mergeCell ref="F146:I146"/>
    <mergeCell ref="F147:I147"/>
    <mergeCell ref="B123:H123"/>
    <mergeCell ref="B138:H138"/>
    <mergeCell ref="B75:H75"/>
    <mergeCell ref="B77:H77"/>
    <mergeCell ref="B79:H79"/>
    <mergeCell ref="B83:H83"/>
    <mergeCell ref="B84:H84"/>
    <mergeCell ref="B113:H113"/>
    <mergeCell ref="B73:H73"/>
    <mergeCell ref="B13:H13"/>
    <mergeCell ref="B14:H14"/>
    <mergeCell ref="B24:H24"/>
    <mergeCell ref="B30:H30"/>
    <mergeCell ref="B35:H35"/>
    <mergeCell ref="B43:H43"/>
    <mergeCell ref="B54:H54"/>
    <mergeCell ref="B59:H59"/>
    <mergeCell ref="B62:H62"/>
    <mergeCell ref="B67:H67"/>
    <mergeCell ref="B68:H68"/>
    <mergeCell ref="G23:J23"/>
    <mergeCell ref="F8:F9"/>
    <mergeCell ref="G8:H8"/>
    <mergeCell ref="I8:J8"/>
    <mergeCell ref="B10:H10"/>
    <mergeCell ref="B11:H11"/>
    <mergeCell ref="A4:F4"/>
    <mergeCell ref="G4:J4"/>
    <mergeCell ref="A5:F5"/>
    <mergeCell ref="A6:F6"/>
    <mergeCell ref="A7:J7"/>
    <mergeCell ref="A8:A9"/>
    <mergeCell ref="B8:B9"/>
    <mergeCell ref="C8:C9"/>
    <mergeCell ref="D8:D9"/>
    <mergeCell ref="E8:E9"/>
    <mergeCell ref="A1:J1"/>
    <mergeCell ref="A2:F2"/>
    <mergeCell ref="G2:H2"/>
    <mergeCell ref="I2:J2"/>
    <mergeCell ref="A3:F3"/>
    <mergeCell ref="G3:H3"/>
    <mergeCell ref="I3:J3"/>
  </mergeCells>
  <phoneticPr fontId="10" type="noConversion"/>
  <pageMargins left="0.25" right="0.25" top="0.75" bottom="0.75" header="0.3" footer="0.3"/>
  <pageSetup paperSize="9" scale="44" fitToHeight="0" orientation="portrait" r:id="rId1"/>
  <rowBreaks count="3" manualBreakCount="3">
    <brk id="44" max="9" man="1"/>
    <brk id="74" max="16383" man="1"/>
    <brk id="107"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A3DF1-BF16-4DEF-9567-8EA94A0FC4EA}">
  <sheetPr>
    <pageSetUpPr fitToPage="1"/>
  </sheetPr>
  <dimension ref="A1:BU937"/>
  <sheetViews>
    <sheetView view="pageBreakPreview" topLeftCell="A415" zoomScale="80" zoomScaleNormal="85" zoomScaleSheetLayoutView="80" workbookViewId="0">
      <selection activeCell="E66" sqref="E66"/>
    </sheetView>
  </sheetViews>
  <sheetFormatPr defaultColWidth="8" defaultRowHeight="12" x14ac:dyDescent="0.25"/>
  <cols>
    <col min="1" max="1" width="37.28515625" style="1" customWidth="1"/>
    <col min="2" max="2" width="37.42578125" style="15" customWidth="1"/>
    <col min="3" max="3" width="47.42578125" style="26" customWidth="1"/>
    <col min="4" max="9" width="25.7109375" style="1" customWidth="1"/>
    <col min="10" max="10" width="47" style="29" customWidth="1"/>
    <col min="11" max="11" width="13.7109375" style="1" customWidth="1"/>
    <col min="12" max="16384" width="8" style="1"/>
  </cols>
  <sheetData>
    <row r="1" spans="1:50" s="3" customFormat="1" ht="20.25" customHeight="1" x14ac:dyDescent="0.25">
      <c r="A1" s="166" t="s">
        <v>78</v>
      </c>
      <c r="B1" s="161" t="s">
        <v>555</v>
      </c>
      <c r="C1" s="161"/>
      <c r="D1" s="161"/>
      <c r="E1" s="161"/>
      <c r="F1" s="161"/>
      <c r="G1" s="160"/>
      <c r="H1" s="160"/>
      <c r="I1" s="160"/>
      <c r="J1" s="160"/>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2"/>
    </row>
    <row r="2" spans="1:50" s="3" customFormat="1" ht="48.75" customHeight="1" x14ac:dyDescent="0.25">
      <c r="A2" s="166" t="s">
        <v>79</v>
      </c>
      <c r="B2" s="161" t="s">
        <v>552</v>
      </c>
      <c r="C2" s="161"/>
      <c r="D2" s="161"/>
      <c r="E2" s="161"/>
      <c r="F2" s="161"/>
      <c r="G2" s="160"/>
      <c r="H2" s="160"/>
      <c r="I2" s="160"/>
      <c r="J2" s="160"/>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2"/>
    </row>
    <row r="3" spans="1:50" s="3" customFormat="1" ht="15.75" x14ac:dyDescent="0.25">
      <c r="A3" s="166" t="s">
        <v>80</v>
      </c>
      <c r="B3" s="161" t="s">
        <v>551</v>
      </c>
      <c r="C3" s="161"/>
      <c r="D3" s="161"/>
      <c r="E3" s="161"/>
      <c r="F3" s="161"/>
      <c r="G3" s="107" t="s">
        <v>81</v>
      </c>
      <c r="H3" s="162">
        <f ca="1">TODAY()</f>
        <v>46161</v>
      </c>
      <c r="I3" s="162"/>
      <c r="J3" s="162"/>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2"/>
    </row>
    <row r="4" spans="1:50" s="3" customFormat="1" ht="15.75" x14ac:dyDescent="0.25">
      <c r="A4" s="166" t="s">
        <v>82</v>
      </c>
      <c r="B4" s="163" t="s">
        <v>83</v>
      </c>
      <c r="C4" s="163"/>
      <c r="D4" s="163"/>
      <c r="E4" s="163"/>
      <c r="F4" s="163"/>
      <c r="G4" s="107" t="s">
        <v>84</v>
      </c>
      <c r="H4" s="164"/>
      <c r="I4" s="164"/>
      <c r="J4" s="164"/>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2"/>
    </row>
    <row r="5" spans="1:50" s="35" customFormat="1" ht="15.75" x14ac:dyDescent="0.25">
      <c r="A5" s="161" t="s">
        <v>87</v>
      </c>
      <c r="B5" s="161"/>
      <c r="C5" s="161"/>
      <c r="D5" s="161"/>
      <c r="E5" s="161"/>
      <c r="F5" s="161"/>
      <c r="G5" s="107" t="s">
        <v>85</v>
      </c>
      <c r="H5" s="56">
        <v>0.03</v>
      </c>
      <c r="I5" s="107" t="s">
        <v>86</v>
      </c>
      <c r="J5" s="167">
        <f>'PLANILHA ORÇAMENTÁRIA'!J6</f>
        <v>0.26490000000000002</v>
      </c>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34"/>
    </row>
    <row r="6" spans="1:50" s="35" customFormat="1" ht="15.75" x14ac:dyDescent="0.25">
      <c r="A6" s="123"/>
      <c r="B6" s="131"/>
      <c r="C6" s="131"/>
      <c r="D6" s="131"/>
      <c r="E6" s="131"/>
      <c r="F6" s="131"/>
      <c r="G6" s="131"/>
      <c r="H6" s="131"/>
      <c r="I6" s="131"/>
      <c r="J6" s="124"/>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34"/>
    </row>
    <row r="7" spans="1:50" s="3" customFormat="1" ht="15.75" x14ac:dyDescent="0.25">
      <c r="A7" s="165" t="s">
        <v>236</v>
      </c>
      <c r="B7" s="165"/>
      <c r="C7" s="165"/>
      <c r="D7" s="165"/>
      <c r="E7" s="165"/>
      <c r="F7" s="165"/>
      <c r="G7" s="165"/>
      <c r="H7" s="165"/>
      <c r="I7" s="165"/>
      <c r="J7" s="165"/>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2"/>
    </row>
    <row r="8" spans="1:50" s="8" customFormat="1" ht="15.75" x14ac:dyDescent="0.25">
      <c r="A8" s="110" t="s">
        <v>2</v>
      </c>
      <c r="B8" s="145" t="s">
        <v>1</v>
      </c>
      <c r="C8" s="145"/>
      <c r="D8" s="145"/>
      <c r="E8" s="145"/>
      <c r="F8" s="145"/>
      <c r="G8" s="145"/>
      <c r="H8" s="145"/>
      <c r="I8" s="145"/>
      <c r="J8" s="145"/>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1"/>
    </row>
    <row r="9" spans="1:50" s="33" customFormat="1" ht="31.5" x14ac:dyDescent="0.25">
      <c r="A9" s="57" t="s">
        <v>90</v>
      </c>
      <c r="B9" s="58" t="s">
        <v>16</v>
      </c>
      <c r="C9" s="138" t="s">
        <v>89</v>
      </c>
      <c r="D9" s="138"/>
      <c r="E9" s="138"/>
      <c r="F9" s="138"/>
      <c r="G9" s="138"/>
      <c r="H9" s="138"/>
      <c r="I9" s="138"/>
      <c r="J9" s="138"/>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1"/>
    </row>
    <row r="10" spans="1:50" s="33" customFormat="1" ht="15.75" x14ac:dyDescent="0.25">
      <c r="A10" s="59" t="s">
        <v>17</v>
      </c>
      <c r="B10" s="59" t="s">
        <v>18</v>
      </c>
      <c r="C10" s="138"/>
      <c r="D10" s="138"/>
      <c r="E10" s="138"/>
      <c r="F10" s="138"/>
      <c r="G10" s="138"/>
      <c r="H10" s="138"/>
      <c r="I10" s="138"/>
      <c r="J10" s="138"/>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1"/>
    </row>
    <row r="11" spans="1:50" s="33" customFormat="1" ht="15.75" x14ac:dyDescent="0.25">
      <c r="A11" s="139"/>
      <c r="B11" s="139"/>
      <c r="C11" s="104" t="s">
        <v>19</v>
      </c>
      <c r="D11" s="108" t="s">
        <v>55</v>
      </c>
      <c r="E11" s="108"/>
      <c r="F11" s="104"/>
      <c r="G11" s="60"/>
      <c r="H11" s="61" t="s">
        <v>22</v>
      </c>
      <c r="I11" s="108" t="s">
        <v>59</v>
      </c>
      <c r="J11" s="108" t="s">
        <v>24</v>
      </c>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1"/>
    </row>
    <row r="12" spans="1:50" s="33" customFormat="1" ht="15.75" x14ac:dyDescent="0.25">
      <c r="A12" s="147"/>
      <c r="B12" s="147"/>
      <c r="C12" s="62"/>
      <c r="D12" s="63">
        <v>1</v>
      </c>
      <c r="E12" s="64"/>
      <c r="F12" s="64"/>
      <c r="G12" s="60"/>
      <c r="H12" s="64">
        <v>1</v>
      </c>
      <c r="I12" s="64">
        <f>ROUND(PRODUCT(D12:F12)*H12,2)</f>
        <v>1</v>
      </c>
      <c r="J12" s="118"/>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1"/>
    </row>
    <row r="13" spans="1:50" s="33" customFormat="1" ht="15.75" x14ac:dyDescent="0.25">
      <c r="A13" s="168" t="s">
        <v>15</v>
      </c>
      <c r="B13" s="168"/>
      <c r="C13" s="168"/>
      <c r="D13" s="168"/>
      <c r="E13" s="168"/>
      <c r="F13" s="168"/>
      <c r="G13" s="168"/>
      <c r="H13" s="168"/>
      <c r="I13" s="65">
        <f>ROUND(SUM(I12),2)</f>
        <v>1</v>
      </c>
      <c r="J13" s="118"/>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1"/>
    </row>
    <row r="14" spans="1:50" s="33" customFormat="1" ht="15.75" x14ac:dyDescent="0.25">
      <c r="A14" s="164"/>
      <c r="B14" s="164"/>
      <c r="C14" s="164"/>
      <c r="D14" s="164"/>
      <c r="E14" s="164"/>
      <c r="F14" s="164"/>
      <c r="G14" s="164"/>
      <c r="H14" s="164"/>
      <c r="I14" s="164"/>
      <c r="J14" s="164"/>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1"/>
    </row>
    <row r="15" spans="1:50" s="7" customFormat="1" ht="15.75" x14ac:dyDescent="0.25">
      <c r="A15" s="110" t="s">
        <v>205</v>
      </c>
      <c r="B15" s="145" t="s">
        <v>204</v>
      </c>
      <c r="C15" s="145"/>
      <c r="D15" s="145"/>
      <c r="E15" s="145"/>
      <c r="F15" s="145"/>
      <c r="G15" s="145"/>
      <c r="H15" s="145"/>
      <c r="I15" s="145"/>
      <c r="J15" s="145"/>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6"/>
    </row>
    <row r="16" spans="1:50" s="8" customFormat="1" ht="15.75" x14ac:dyDescent="0.25">
      <c r="A16" s="110" t="s">
        <v>206</v>
      </c>
      <c r="B16" s="145" t="s">
        <v>25</v>
      </c>
      <c r="C16" s="145"/>
      <c r="D16" s="145"/>
      <c r="E16" s="145"/>
      <c r="F16" s="145"/>
      <c r="G16" s="145"/>
      <c r="H16" s="145"/>
      <c r="I16" s="145"/>
      <c r="J16" s="145"/>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1"/>
    </row>
    <row r="17" spans="1:50" s="7" customFormat="1" ht="31.5" x14ac:dyDescent="0.25">
      <c r="A17" s="57"/>
      <c r="B17" s="58" t="s">
        <v>16</v>
      </c>
      <c r="C17" s="146" t="str">
        <f>'PLANILHA ORÇAMENTÁRIA'!C15</f>
        <v>ESCAVAÇÃO MANUAL DE TERRA (DESATERRO MANUAL), INCLUSIVE DESCARGA LATERAL, EXCLUSIVE RETIRADA E TRANSPORTE DO MATERIAL ESCAVADO</v>
      </c>
      <c r="D17" s="146"/>
      <c r="E17" s="146"/>
      <c r="F17" s="146"/>
      <c r="G17" s="146"/>
      <c r="H17" s="146"/>
      <c r="I17" s="146"/>
      <c r="J17" s="146"/>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6"/>
    </row>
    <row r="18" spans="1:50" s="7" customFormat="1" ht="31.5" x14ac:dyDescent="0.25">
      <c r="A18" s="108" t="s">
        <v>17</v>
      </c>
      <c r="B18" s="108" t="s">
        <v>18</v>
      </c>
      <c r="C18" s="104" t="s">
        <v>19</v>
      </c>
      <c r="D18" s="108" t="s">
        <v>26</v>
      </c>
      <c r="E18" s="108" t="s">
        <v>27</v>
      </c>
      <c r="F18" s="108" t="s">
        <v>28</v>
      </c>
      <c r="G18" s="108"/>
      <c r="H18" s="108" t="s">
        <v>29</v>
      </c>
      <c r="I18" s="108" t="s">
        <v>30</v>
      </c>
      <c r="J18" s="108" t="s">
        <v>24</v>
      </c>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6"/>
    </row>
    <row r="19" spans="1:50" s="7" customFormat="1" ht="15.75" x14ac:dyDescent="0.25">
      <c r="A19" s="66" t="s">
        <v>163</v>
      </c>
      <c r="B19" s="67" t="s">
        <v>169</v>
      </c>
      <c r="C19" s="68"/>
      <c r="D19" s="68">
        <f>0.95+0.1+0.1</f>
        <v>1.1500000000000001</v>
      </c>
      <c r="E19" s="68">
        <f>0.95+0.1+0.1</f>
        <v>1.1500000000000001</v>
      </c>
      <c r="F19" s="68">
        <v>1.05</v>
      </c>
      <c r="G19" s="108"/>
      <c r="H19" s="68">
        <v>6</v>
      </c>
      <c r="I19" s="68">
        <f>ROUND(SUM(D19*E19*F19*H19),2)</f>
        <v>8.33</v>
      </c>
      <c r="J19" s="139" t="s">
        <v>577</v>
      </c>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6"/>
    </row>
    <row r="20" spans="1:50" s="8" customFormat="1" ht="15.75" x14ac:dyDescent="0.25">
      <c r="A20" s="69" t="s">
        <v>164</v>
      </c>
      <c r="B20" s="67" t="s">
        <v>170</v>
      </c>
      <c r="C20" s="68"/>
      <c r="D20" s="68">
        <f>0.75+0.1+0.1</f>
        <v>0.95</v>
      </c>
      <c r="E20" s="68">
        <f>0.75+0.1+0.1</f>
        <v>0.95</v>
      </c>
      <c r="F20" s="68">
        <v>1.05</v>
      </c>
      <c r="G20" s="70"/>
      <c r="H20" s="68">
        <v>2</v>
      </c>
      <c r="I20" s="68">
        <f t="shared" ref="I20:I25" si="0">ROUND(SUM(D20*E20*F20*H20),2)</f>
        <v>1.9</v>
      </c>
      <c r="J20" s="139"/>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1"/>
    </row>
    <row r="21" spans="1:50" s="8" customFormat="1" ht="15.75" x14ac:dyDescent="0.25">
      <c r="A21" s="69" t="s">
        <v>165</v>
      </c>
      <c r="B21" s="67" t="s">
        <v>169</v>
      </c>
      <c r="C21" s="68"/>
      <c r="D21" s="68">
        <f>0.95+0.1+0.1</f>
        <v>1.1500000000000001</v>
      </c>
      <c r="E21" s="68">
        <f>1.15+0.1+0.1</f>
        <v>1.35</v>
      </c>
      <c r="F21" s="68">
        <v>1.05</v>
      </c>
      <c r="G21" s="108"/>
      <c r="H21" s="68">
        <v>2</v>
      </c>
      <c r="I21" s="68">
        <f t="shared" si="0"/>
        <v>3.26</v>
      </c>
      <c r="J21" s="139"/>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1"/>
    </row>
    <row r="22" spans="1:50" s="38" customFormat="1" ht="15.75" x14ac:dyDescent="0.25">
      <c r="A22" s="69" t="s">
        <v>166</v>
      </c>
      <c r="B22" s="67" t="s">
        <v>171</v>
      </c>
      <c r="C22" s="68"/>
      <c r="D22" s="68">
        <f>0.55+0.1+0.1</f>
        <v>0.75</v>
      </c>
      <c r="E22" s="68">
        <f>0.7+0.1+0.1</f>
        <v>0.89999999999999991</v>
      </c>
      <c r="F22" s="68">
        <v>1.05</v>
      </c>
      <c r="G22" s="71"/>
      <c r="H22" s="68">
        <v>5</v>
      </c>
      <c r="I22" s="68">
        <f t="shared" si="0"/>
        <v>3.54</v>
      </c>
      <c r="J22" s="139"/>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1"/>
    </row>
    <row r="23" spans="1:50" s="14" customFormat="1" ht="15.75" x14ac:dyDescent="0.25">
      <c r="A23" s="69" t="s">
        <v>167</v>
      </c>
      <c r="B23" s="67" t="s">
        <v>171</v>
      </c>
      <c r="C23" s="68"/>
      <c r="D23" s="68">
        <f>0.55+0.1+0.1</f>
        <v>0.75</v>
      </c>
      <c r="E23" s="68">
        <f>0.7+0.1+0.1</f>
        <v>0.89999999999999991</v>
      </c>
      <c r="F23" s="68">
        <v>1.05</v>
      </c>
      <c r="G23" s="108"/>
      <c r="H23" s="68">
        <v>5</v>
      </c>
      <c r="I23" s="68">
        <f t="shared" si="0"/>
        <v>3.54</v>
      </c>
      <c r="J23" s="139"/>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6"/>
      <c r="AX23" s="13"/>
    </row>
    <row r="24" spans="1:50" s="36" customFormat="1" ht="15.75" x14ac:dyDescent="0.25">
      <c r="A24" s="69" t="s">
        <v>168</v>
      </c>
      <c r="B24" s="67" t="s">
        <v>170</v>
      </c>
      <c r="C24" s="68"/>
      <c r="D24" s="68">
        <f>0.75+0.1+0.1</f>
        <v>0.95</v>
      </c>
      <c r="E24" s="68">
        <f>0.75+0.1+0.1</f>
        <v>0.95</v>
      </c>
      <c r="F24" s="68">
        <v>1.05</v>
      </c>
      <c r="G24" s="108"/>
      <c r="H24" s="68">
        <v>2</v>
      </c>
      <c r="I24" s="68">
        <f t="shared" si="0"/>
        <v>1.9</v>
      </c>
      <c r="J24" s="139"/>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6"/>
    </row>
    <row r="25" spans="1:50" s="36" customFormat="1" ht="31.5" x14ac:dyDescent="0.25">
      <c r="A25" s="69" t="s">
        <v>172</v>
      </c>
      <c r="B25" s="67"/>
      <c r="C25" s="68" t="s">
        <v>173</v>
      </c>
      <c r="D25" s="68">
        <f>5.31+1.49+7.21+7.21+8.68+3.63+7.21+11.75+1.85+4.2+5.11+11.87+3.99+3.99+4+4+4.08</f>
        <v>95.58</v>
      </c>
      <c r="E25" s="68">
        <f>0.14+0.1+0.1</f>
        <v>0.34</v>
      </c>
      <c r="F25" s="68">
        <v>0.35</v>
      </c>
      <c r="G25" s="108"/>
      <c r="H25" s="68">
        <v>1</v>
      </c>
      <c r="I25" s="68">
        <f t="shared" si="0"/>
        <v>11.37</v>
      </c>
      <c r="J25" s="139"/>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6"/>
    </row>
    <row r="26" spans="1:50" s="7" customFormat="1" ht="15.75" x14ac:dyDescent="0.25">
      <c r="A26" s="142" t="s">
        <v>15</v>
      </c>
      <c r="B26" s="142"/>
      <c r="C26" s="142"/>
      <c r="D26" s="142"/>
      <c r="E26" s="142"/>
      <c r="F26" s="142"/>
      <c r="G26" s="142"/>
      <c r="H26" s="142"/>
      <c r="I26" s="72">
        <f>ROUND(SUM(I19:I25),2)</f>
        <v>33.840000000000003</v>
      </c>
      <c r="J26" s="139"/>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6"/>
    </row>
    <row r="27" spans="1:50" s="8" customFormat="1" ht="15.75" x14ac:dyDescent="0.25">
      <c r="A27" s="139"/>
      <c r="B27" s="139"/>
      <c r="C27" s="139"/>
      <c r="D27" s="139"/>
      <c r="E27" s="139"/>
      <c r="F27" s="139"/>
      <c r="G27" s="139"/>
      <c r="H27" s="139"/>
      <c r="I27" s="139"/>
      <c r="J27" s="139"/>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1"/>
    </row>
    <row r="28" spans="1:50" s="7" customFormat="1" ht="31.5" x14ac:dyDescent="0.25">
      <c r="A28" s="57"/>
      <c r="B28" s="58" t="s">
        <v>16</v>
      </c>
      <c r="C28" s="146" t="str">
        <f>'PLANILHA ORÇAMENTÁRIA'!C16</f>
        <v>APILOAMENTO MANUAL EM FUNDO DE VALA COM SOQUETE, EXCLUSIVE ESCAVAÇÃO</v>
      </c>
      <c r="D28" s="146"/>
      <c r="E28" s="146"/>
      <c r="F28" s="146"/>
      <c r="G28" s="146"/>
      <c r="H28" s="146"/>
      <c r="I28" s="146"/>
      <c r="J28" s="146"/>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6"/>
    </row>
    <row r="29" spans="1:50" s="7" customFormat="1" ht="31.5" x14ac:dyDescent="0.25">
      <c r="A29" s="108" t="s">
        <v>17</v>
      </c>
      <c r="B29" s="108" t="s">
        <v>18</v>
      </c>
      <c r="C29" s="104" t="s">
        <v>19</v>
      </c>
      <c r="D29" s="108" t="s">
        <v>26</v>
      </c>
      <c r="E29" s="108" t="s">
        <v>27</v>
      </c>
      <c r="F29" s="108"/>
      <c r="G29" s="108"/>
      <c r="H29" s="108" t="s">
        <v>29</v>
      </c>
      <c r="I29" s="108" t="s">
        <v>23</v>
      </c>
      <c r="J29" s="108" t="s">
        <v>24</v>
      </c>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6"/>
    </row>
    <row r="30" spans="1:50" s="7" customFormat="1" ht="15.75" x14ac:dyDescent="0.25">
      <c r="A30" s="66" t="str">
        <f>A19</f>
        <v>SAPATAS S1=S4=S5=S17=S18=S22</v>
      </c>
      <c r="B30" s="67"/>
      <c r="C30" s="67"/>
      <c r="D30" s="68">
        <f>D19</f>
        <v>1.1500000000000001</v>
      </c>
      <c r="E30" s="68">
        <f>E19</f>
        <v>1.1500000000000001</v>
      </c>
      <c r="F30" s="68"/>
      <c r="G30" s="108"/>
      <c r="H30" s="68">
        <f>H19</f>
        <v>6</v>
      </c>
      <c r="I30" s="68">
        <f>ROUND(D30*E30*H30,2)</f>
        <v>7.94</v>
      </c>
      <c r="J30" s="139"/>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6"/>
    </row>
    <row r="31" spans="1:50" s="8" customFormat="1" ht="15.75" x14ac:dyDescent="0.25">
      <c r="A31" s="66" t="str">
        <f t="shared" ref="A31:A36" si="1">A20</f>
        <v>SAPATAS S2=S14</v>
      </c>
      <c r="B31" s="67"/>
      <c r="C31" s="67"/>
      <c r="D31" s="68">
        <f t="shared" ref="D31:E31" si="2">D20</f>
        <v>0.95</v>
      </c>
      <c r="E31" s="68">
        <f t="shared" si="2"/>
        <v>0.95</v>
      </c>
      <c r="F31" s="68"/>
      <c r="G31" s="108"/>
      <c r="H31" s="68">
        <f t="shared" ref="H31:H36" si="3">H20</f>
        <v>2</v>
      </c>
      <c r="I31" s="68">
        <f t="shared" ref="I31:I36" si="4">ROUND(D31*E31*H31,2)</f>
        <v>1.81</v>
      </c>
      <c r="J31" s="139"/>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1"/>
    </row>
    <row r="32" spans="1:50" s="8" customFormat="1" ht="15.75" x14ac:dyDescent="0.25">
      <c r="A32" s="66" t="str">
        <f t="shared" si="1"/>
        <v>SAPATA S3=S21</v>
      </c>
      <c r="B32" s="67"/>
      <c r="C32" s="67"/>
      <c r="D32" s="68">
        <f t="shared" ref="D32:E32" si="5">D21</f>
        <v>1.1500000000000001</v>
      </c>
      <c r="E32" s="68">
        <f t="shared" si="5"/>
        <v>1.35</v>
      </c>
      <c r="F32" s="68"/>
      <c r="G32" s="108"/>
      <c r="H32" s="68">
        <f t="shared" si="3"/>
        <v>2</v>
      </c>
      <c r="I32" s="68">
        <f t="shared" si="4"/>
        <v>3.11</v>
      </c>
      <c r="J32" s="139"/>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1"/>
    </row>
    <row r="33" spans="1:50" s="38" customFormat="1" ht="15.75" x14ac:dyDescent="0.25">
      <c r="A33" s="66" t="str">
        <f t="shared" si="1"/>
        <v>SAPATA S6=S10=S11=S12=S13</v>
      </c>
      <c r="B33" s="67"/>
      <c r="C33" s="67"/>
      <c r="D33" s="68">
        <f t="shared" ref="D33:E33" si="6">D22</f>
        <v>0.75</v>
      </c>
      <c r="E33" s="68">
        <f t="shared" si="6"/>
        <v>0.89999999999999991</v>
      </c>
      <c r="F33" s="68"/>
      <c r="G33" s="108"/>
      <c r="H33" s="68">
        <f t="shared" si="3"/>
        <v>5</v>
      </c>
      <c r="I33" s="68">
        <f t="shared" si="4"/>
        <v>3.38</v>
      </c>
      <c r="J33" s="139"/>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1"/>
    </row>
    <row r="34" spans="1:50" s="14" customFormat="1" ht="15.75" x14ac:dyDescent="0.25">
      <c r="A34" s="66" t="str">
        <f t="shared" si="1"/>
        <v>SAPATA S7=S8=S9=S15=S16</v>
      </c>
      <c r="B34" s="67"/>
      <c r="C34" s="67"/>
      <c r="D34" s="68">
        <f t="shared" ref="D34:E34" si="7">D23</f>
        <v>0.75</v>
      </c>
      <c r="E34" s="68">
        <f t="shared" si="7"/>
        <v>0.89999999999999991</v>
      </c>
      <c r="F34" s="68"/>
      <c r="G34" s="108"/>
      <c r="H34" s="68">
        <f t="shared" si="3"/>
        <v>5</v>
      </c>
      <c r="I34" s="68">
        <f t="shared" si="4"/>
        <v>3.38</v>
      </c>
      <c r="J34" s="139"/>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6"/>
      <c r="AX34" s="13"/>
    </row>
    <row r="35" spans="1:50" s="36" customFormat="1" ht="15.75" x14ac:dyDescent="0.25">
      <c r="A35" s="66" t="str">
        <f t="shared" si="1"/>
        <v>SAPATA S19=S20</v>
      </c>
      <c r="B35" s="67"/>
      <c r="C35" s="67"/>
      <c r="D35" s="68">
        <f t="shared" ref="D35:E35" si="8">D24</f>
        <v>0.95</v>
      </c>
      <c r="E35" s="68">
        <f t="shared" si="8"/>
        <v>0.95</v>
      </c>
      <c r="F35" s="68"/>
      <c r="G35" s="108"/>
      <c r="H35" s="68">
        <f t="shared" si="3"/>
        <v>2</v>
      </c>
      <c r="I35" s="68">
        <f t="shared" si="4"/>
        <v>1.81</v>
      </c>
      <c r="J35" s="139"/>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6"/>
    </row>
    <row r="36" spans="1:50" s="36" customFormat="1" ht="15.75" x14ac:dyDescent="0.25">
      <c r="A36" s="66" t="str">
        <f t="shared" si="1"/>
        <v xml:space="preserve">VIGAS BALDRAMES </v>
      </c>
      <c r="B36" s="67"/>
      <c r="C36" s="67"/>
      <c r="D36" s="68">
        <f t="shared" ref="D36:E36" si="9">D25</f>
        <v>95.58</v>
      </c>
      <c r="E36" s="68">
        <f t="shared" si="9"/>
        <v>0.34</v>
      </c>
      <c r="F36" s="68"/>
      <c r="G36" s="108"/>
      <c r="H36" s="68">
        <f t="shared" si="3"/>
        <v>1</v>
      </c>
      <c r="I36" s="68">
        <f t="shared" si="4"/>
        <v>32.5</v>
      </c>
      <c r="J36" s="139"/>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6"/>
    </row>
    <row r="37" spans="1:50" s="7" customFormat="1" ht="15.75" x14ac:dyDescent="0.25">
      <c r="A37" s="142" t="s">
        <v>15</v>
      </c>
      <c r="B37" s="142"/>
      <c r="C37" s="142"/>
      <c r="D37" s="142"/>
      <c r="E37" s="142"/>
      <c r="F37" s="142"/>
      <c r="G37" s="142"/>
      <c r="H37" s="142"/>
      <c r="I37" s="72">
        <f>ROUND(SUM(I30:I36),2)</f>
        <v>53.93</v>
      </c>
      <c r="J37" s="139"/>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6"/>
    </row>
    <row r="38" spans="1:50" s="8" customFormat="1" ht="15.75" x14ac:dyDescent="0.25">
      <c r="A38" s="139"/>
      <c r="B38" s="139"/>
      <c r="C38" s="139"/>
      <c r="D38" s="139"/>
      <c r="E38" s="139"/>
      <c r="F38" s="139"/>
      <c r="G38" s="139"/>
      <c r="H38" s="139"/>
      <c r="I38" s="139"/>
      <c r="J38" s="139"/>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1"/>
    </row>
    <row r="39" spans="1:50" s="7" customFormat="1" ht="31.5" x14ac:dyDescent="0.25">
      <c r="A39" s="57"/>
      <c r="B39" s="58" t="s">
        <v>16</v>
      </c>
      <c r="C39" s="146" t="str">
        <f>'PLANILHA ORÇAMENTÁRIA'!C17</f>
        <v>LASTRO DE CONCRETO MAGRO, INCLUSIVE TRANSPORTE, LANÇAMENTO E ADENSAMENTO</v>
      </c>
      <c r="D39" s="146"/>
      <c r="E39" s="146"/>
      <c r="F39" s="146"/>
      <c r="G39" s="146"/>
      <c r="H39" s="146"/>
      <c r="I39" s="146"/>
      <c r="J39" s="146"/>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6"/>
    </row>
    <row r="40" spans="1:50" s="7" customFormat="1" ht="15.75" x14ac:dyDescent="0.25">
      <c r="A40" s="108" t="s">
        <v>17</v>
      </c>
      <c r="B40" s="108" t="s">
        <v>18</v>
      </c>
      <c r="C40" s="104" t="s">
        <v>19</v>
      </c>
      <c r="D40" s="108" t="s">
        <v>20</v>
      </c>
      <c r="E40" s="108" t="s">
        <v>21</v>
      </c>
      <c r="F40" s="108" t="s">
        <v>31</v>
      </c>
      <c r="G40" s="108"/>
      <c r="H40" s="108" t="s">
        <v>29</v>
      </c>
      <c r="I40" s="108" t="s">
        <v>30</v>
      </c>
      <c r="J40" s="108" t="s">
        <v>24</v>
      </c>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6"/>
    </row>
    <row r="41" spans="1:50" s="7" customFormat="1" ht="15.75" x14ac:dyDescent="0.25">
      <c r="A41" s="66" t="str">
        <f>A30</f>
        <v>SAPATAS S1=S4=S5=S17=S18=S22</v>
      </c>
      <c r="B41" s="69"/>
      <c r="C41" s="69"/>
      <c r="D41" s="73">
        <f>D30</f>
        <v>1.1500000000000001</v>
      </c>
      <c r="E41" s="73">
        <f>E30</f>
        <v>1.1500000000000001</v>
      </c>
      <c r="F41" s="68">
        <v>0.05</v>
      </c>
      <c r="G41" s="108"/>
      <c r="H41" s="68">
        <f>H30</f>
        <v>6</v>
      </c>
      <c r="I41" s="68">
        <f>ROUND(D41*E41*F41*H41,2)</f>
        <v>0.4</v>
      </c>
      <c r="J41" s="139"/>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6"/>
    </row>
    <row r="42" spans="1:50" s="8" customFormat="1" ht="15.75" x14ac:dyDescent="0.25">
      <c r="A42" s="69" t="str">
        <f t="shared" ref="A42:A47" si="10">A31</f>
        <v>SAPATAS S2=S14</v>
      </c>
      <c r="B42" s="69"/>
      <c r="C42" s="69"/>
      <c r="D42" s="73">
        <f t="shared" ref="D42:E42" si="11">D31</f>
        <v>0.95</v>
      </c>
      <c r="E42" s="73">
        <f t="shared" si="11"/>
        <v>0.95</v>
      </c>
      <c r="F42" s="68">
        <v>0.05</v>
      </c>
      <c r="G42" s="108"/>
      <c r="H42" s="68">
        <f t="shared" ref="H42:H47" si="12">H31</f>
        <v>2</v>
      </c>
      <c r="I42" s="68">
        <f t="shared" ref="I42:I47" si="13">ROUND(D42*E42*F42*H42,2)</f>
        <v>0.09</v>
      </c>
      <c r="J42" s="139"/>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1"/>
    </row>
    <row r="43" spans="1:50" s="8" customFormat="1" ht="15.75" x14ac:dyDescent="0.25">
      <c r="A43" s="69" t="str">
        <f t="shared" si="10"/>
        <v>SAPATA S3=S21</v>
      </c>
      <c r="B43" s="69"/>
      <c r="C43" s="69"/>
      <c r="D43" s="73">
        <f t="shared" ref="D43:E43" si="14">D32</f>
        <v>1.1500000000000001</v>
      </c>
      <c r="E43" s="73">
        <f t="shared" si="14"/>
        <v>1.35</v>
      </c>
      <c r="F43" s="68">
        <v>0.05</v>
      </c>
      <c r="G43" s="108"/>
      <c r="H43" s="68">
        <f t="shared" si="12"/>
        <v>2</v>
      </c>
      <c r="I43" s="68">
        <f t="shared" si="13"/>
        <v>0.16</v>
      </c>
      <c r="J43" s="139"/>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1"/>
    </row>
    <row r="44" spans="1:50" s="37" customFormat="1" ht="15.75" x14ac:dyDescent="0.25">
      <c r="A44" s="69" t="str">
        <f t="shared" si="10"/>
        <v>SAPATA S6=S10=S11=S12=S13</v>
      </c>
      <c r="B44" s="69"/>
      <c r="C44" s="69"/>
      <c r="D44" s="73">
        <f t="shared" ref="D44:E44" si="15">D33</f>
        <v>0.75</v>
      </c>
      <c r="E44" s="73">
        <f t="shared" si="15"/>
        <v>0.89999999999999991</v>
      </c>
      <c r="F44" s="68">
        <v>0.05</v>
      </c>
      <c r="G44" s="108"/>
      <c r="H44" s="68">
        <f t="shared" si="12"/>
        <v>5</v>
      </c>
      <c r="I44" s="68">
        <f t="shared" si="13"/>
        <v>0.17</v>
      </c>
      <c r="J44" s="139"/>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1"/>
    </row>
    <row r="45" spans="1:50" s="15" customFormat="1" ht="15.75" x14ac:dyDescent="0.25">
      <c r="A45" s="69" t="str">
        <f t="shared" si="10"/>
        <v>SAPATA S7=S8=S9=S15=S16</v>
      </c>
      <c r="B45" s="69"/>
      <c r="C45" s="69"/>
      <c r="D45" s="73">
        <f t="shared" ref="D45:E45" si="16">D34</f>
        <v>0.75</v>
      </c>
      <c r="E45" s="73">
        <f t="shared" si="16"/>
        <v>0.89999999999999991</v>
      </c>
      <c r="F45" s="68">
        <v>0.05</v>
      </c>
      <c r="G45" s="108"/>
      <c r="H45" s="68">
        <f t="shared" si="12"/>
        <v>5</v>
      </c>
      <c r="I45" s="68">
        <f t="shared" si="13"/>
        <v>0.17</v>
      </c>
      <c r="J45" s="139"/>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row>
    <row r="46" spans="1:50" s="15" customFormat="1" ht="15.75" x14ac:dyDescent="0.25">
      <c r="A46" s="69" t="str">
        <f t="shared" si="10"/>
        <v>SAPATA S19=S20</v>
      </c>
      <c r="B46" s="69"/>
      <c r="C46" s="69"/>
      <c r="D46" s="73">
        <f t="shared" ref="D46:E46" si="17">D35</f>
        <v>0.95</v>
      </c>
      <c r="E46" s="73">
        <f t="shared" si="17"/>
        <v>0.95</v>
      </c>
      <c r="F46" s="68">
        <v>0.05</v>
      </c>
      <c r="G46" s="108"/>
      <c r="H46" s="68">
        <f t="shared" si="12"/>
        <v>2</v>
      </c>
      <c r="I46" s="68">
        <f t="shared" si="13"/>
        <v>0.09</v>
      </c>
      <c r="J46" s="139"/>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row>
    <row r="47" spans="1:50" s="15" customFormat="1" ht="15.75" x14ac:dyDescent="0.25">
      <c r="A47" s="69" t="str">
        <f t="shared" si="10"/>
        <v xml:space="preserve">VIGAS BALDRAMES </v>
      </c>
      <c r="B47" s="69"/>
      <c r="C47" s="69"/>
      <c r="D47" s="73">
        <f t="shared" ref="D47:E47" si="18">D36</f>
        <v>95.58</v>
      </c>
      <c r="E47" s="73">
        <f t="shared" si="18"/>
        <v>0.34</v>
      </c>
      <c r="F47" s="68">
        <v>0.05</v>
      </c>
      <c r="G47" s="108"/>
      <c r="H47" s="68">
        <f t="shared" si="12"/>
        <v>1</v>
      </c>
      <c r="I47" s="68">
        <f t="shared" si="13"/>
        <v>1.62</v>
      </c>
      <c r="J47" s="139"/>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row>
    <row r="48" spans="1:50" s="9" customFormat="1" ht="15.75" x14ac:dyDescent="0.25">
      <c r="A48" s="142" t="s">
        <v>15</v>
      </c>
      <c r="B48" s="142"/>
      <c r="C48" s="142"/>
      <c r="D48" s="142"/>
      <c r="E48" s="142"/>
      <c r="F48" s="142"/>
      <c r="G48" s="142"/>
      <c r="H48" s="142"/>
      <c r="I48" s="72">
        <f>ROUND(SUM(I41:I47),2)</f>
        <v>2.7</v>
      </c>
      <c r="J48" s="139"/>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1"/>
    </row>
    <row r="49" spans="1:49" s="8" customFormat="1" ht="15.75" x14ac:dyDescent="0.25">
      <c r="A49" s="169"/>
      <c r="B49" s="169"/>
      <c r="C49" s="169"/>
      <c r="D49" s="169"/>
      <c r="E49" s="169"/>
      <c r="F49" s="169"/>
      <c r="G49" s="169"/>
      <c r="H49" s="169"/>
      <c r="I49" s="169"/>
      <c r="J49" s="169"/>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1"/>
    </row>
    <row r="50" spans="1:49" s="8" customFormat="1" ht="31.5" x14ac:dyDescent="0.25">
      <c r="A50" s="57"/>
      <c r="B50" s="58" t="s">
        <v>16</v>
      </c>
      <c r="C50" s="146" t="str">
        <f>'PLANILHA ORÇAMENTÁRIA'!C18</f>
        <v>CORTE, DOBRA E MONTAGEM DE AÇO CA-50/60, INCLUSIVE ESPAÇADOR</v>
      </c>
      <c r="D50" s="146"/>
      <c r="E50" s="146"/>
      <c r="F50" s="146"/>
      <c r="G50" s="146"/>
      <c r="H50" s="146"/>
      <c r="I50" s="146"/>
      <c r="J50" s="146"/>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1"/>
    </row>
    <row r="51" spans="1:49" s="8" customFormat="1" ht="15.75" x14ac:dyDescent="0.25">
      <c r="A51" s="108" t="s">
        <v>17</v>
      </c>
      <c r="B51" s="108" t="s">
        <v>18</v>
      </c>
      <c r="C51" s="104" t="s">
        <v>19</v>
      </c>
      <c r="D51" s="108" t="s">
        <v>35</v>
      </c>
      <c r="E51" s="108"/>
      <c r="F51" s="108"/>
      <c r="G51" s="108"/>
      <c r="H51" s="108" t="s">
        <v>29</v>
      </c>
      <c r="I51" s="108" t="s">
        <v>36</v>
      </c>
      <c r="J51" s="108" t="s">
        <v>24</v>
      </c>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1"/>
    </row>
    <row r="52" spans="1:49" s="30" customFormat="1" ht="15.75" x14ac:dyDescent="0.25">
      <c r="A52" s="67" t="s">
        <v>174</v>
      </c>
      <c r="B52" s="67" t="s">
        <v>175</v>
      </c>
      <c r="C52" s="74"/>
      <c r="D52" s="68">
        <f>271.3+45.7</f>
        <v>317</v>
      </c>
      <c r="E52" s="108"/>
      <c r="F52" s="108"/>
      <c r="G52" s="108"/>
      <c r="H52" s="68">
        <v>1</v>
      </c>
      <c r="I52" s="68">
        <f>ROUND(SUM(D52*H52),2)</f>
        <v>317</v>
      </c>
      <c r="J52" s="139"/>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1"/>
    </row>
    <row r="53" spans="1:49" s="10" customFormat="1" ht="15.75" x14ac:dyDescent="0.25">
      <c r="A53" s="67" t="s">
        <v>172</v>
      </c>
      <c r="B53" s="67" t="s">
        <v>176</v>
      </c>
      <c r="C53" s="68"/>
      <c r="D53" s="68">
        <f>171.8+78.4</f>
        <v>250.20000000000002</v>
      </c>
      <c r="E53" s="68"/>
      <c r="F53" s="71"/>
      <c r="G53" s="71"/>
      <c r="H53" s="68">
        <v>1</v>
      </c>
      <c r="I53" s="68">
        <f t="shared" ref="I53:I54" si="19">ROUND(SUM(D53*H53),2)</f>
        <v>250.2</v>
      </c>
      <c r="J53" s="139"/>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6"/>
    </row>
    <row r="54" spans="1:49" s="7" customFormat="1" ht="15.75" x14ac:dyDescent="0.25">
      <c r="A54" s="67" t="s">
        <v>177</v>
      </c>
      <c r="B54" s="67" t="s">
        <v>178</v>
      </c>
      <c r="C54" s="68"/>
      <c r="D54" s="68">
        <f>210.4+80.9</f>
        <v>291.3</v>
      </c>
      <c r="E54" s="68"/>
      <c r="F54" s="71"/>
      <c r="G54" s="71"/>
      <c r="H54" s="68">
        <v>1</v>
      </c>
      <c r="I54" s="68">
        <f t="shared" si="19"/>
        <v>291.3</v>
      </c>
      <c r="J54" s="139"/>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6"/>
    </row>
    <row r="55" spans="1:49" s="8" customFormat="1" ht="15.75" x14ac:dyDescent="0.25">
      <c r="A55" s="142" t="s">
        <v>15</v>
      </c>
      <c r="B55" s="142"/>
      <c r="C55" s="142"/>
      <c r="D55" s="142"/>
      <c r="E55" s="142"/>
      <c r="F55" s="142"/>
      <c r="G55" s="142"/>
      <c r="H55" s="142"/>
      <c r="I55" s="72">
        <f>SUM(I52:I54)</f>
        <v>858.5</v>
      </c>
      <c r="J55" s="139"/>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1"/>
    </row>
    <row r="56" spans="1:49" s="8" customFormat="1" ht="15.75" x14ac:dyDescent="0.25">
      <c r="A56" s="139"/>
      <c r="B56" s="139"/>
      <c r="C56" s="139"/>
      <c r="D56" s="139"/>
      <c r="E56" s="139"/>
      <c r="F56" s="139"/>
      <c r="G56" s="139"/>
      <c r="H56" s="139"/>
      <c r="I56" s="139"/>
      <c r="J56" s="139"/>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1"/>
    </row>
    <row r="57" spans="1:49" s="10" customFormat="1" ht="31.5" x14ac:dyDescent="0.25">
      <c r="A57" s="57"/>
      <c r="B57" s="58" t="s">
        <v>16</v>
      </c>
      <c r="C57" s="146" t="str">
        <f>'PLANILHA ORÇAMENTÁRIA'!C19</f>
        <v>FÔRMA E DESFORMA DE COMPENSADO PLASTIFICADO, ESP. 12MM, REAPROVEITAMENTO (5X), EXCLUSIVE ESCORAMENTO</v>
      </c>
      <c r="D57" s="146"/>
      <c r="E57" s="146"/>
      <c r="F57" s="146"/>
      <c r="G57" s="146"/>
      <c r="H57" s="146"/>
      <c r="I57" s="146"/>
      <c r="J57" s="146"/>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6"/>
    </row>
    <row r="58" spans="1:49" s="10" customFormat="1" ht="15.75" x14ac:dyDescent="0.25">
      <c r="A58" s="108" t="s">
        <v>17</v>
      </c>
      <c r="B58" s="108" t="s">
        <v>18</v>
      </c>
      <c r="C58" s="104" t="s">
        <v>19</v>
      </c>
      <c r="D58" s="108" t="s">
        <v>37</v>
      </c>
      <c r="E58" s="108"/>
      <c r="F58" s="108"/>
      <c r="G58" s="108" t="s">
        <v>64</v>
      </c>
      <c r="H58" s="108" t="s">
        <v>29</v>
      </c>
      <c r="I58" s="108" t="s">
        <v>23</v>
      </c>
      <c r="J58" s="108" t="s">
        <v>24</v>
      </c>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6"/>
    </row>
    <row r="59" spans="1:49" s="7" customFormat="1" ht="15.75" x14ac:dyDescent="0.25">
      <c r="A59" s="67" t="str">
        <f>A52</f>
        <v xml:space="preserve">SAPATAS </v>
      </c>
      <c r="B59" s="67"/>
      <c r="C59" s="68"/>
      <c r="D59" s="68">
        <v>31.65</v>
      </c>
      <c r="E59" s="68"/>
      <c r="F59" s="71"/>
      <c r="G59" s="68">
        <v>3</v>
      </c>
      <c r="H59" s="68">
        <v>1</v>
      </c>
      <c r="I59" s="68">
        <f>ROUND((D59*H59)/G59,2)</f>
        <v>10.55</v>
      </c>
      <c r="J59" s="139"/>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6"/>
    </row>
    <row r="60" spans="1:49" s="25" customFormat="1" ht="15.75" x14ac:dyDescent="0.25">
      <c r="A60" s="67" t="str">
        <f t="shared" ref="A60:A61" si="20">A53</f>
        <v xml:space="preserve">VIGAS BALDRAMES </v>
      </c>
      <c r="B60" s="67"/>
      <c r="C60" s="68"/>
      <c r="D60" s="68">
        <v>63.68</v>
      </c>
      <c r="E60" s="68"/>
      <c r="F60" s="71"/>
      <c r="G60" s="68">
        <v>3</v>
      </c>
      <c r="H60" s="68">
        <v>1</v>
      </c>
      <c r="I60" s="68">
        <f t="shared" ref="I60:I61" si="21">ROUND((D60*H60)/G60,2)</f>
        <v>21.23</v>
      </c>
      <c r="J60" s="139"/>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6"/>
    </row>
    <row r="61" spans="1:49" s="25" customFormat="1" ht="15.75" x14ac:dyDescent="0.25">
      <c r="A61" s="67" t="str">
        <f t="shared" si="20"/>
        <v>NIVEL ARRIMO</v>
      </c>
      <c r="B61" s="67"/>
      <c r="C61" s="68"/>
      <c r="D61" s="68">
        <v>56.17</v>
      </c>
      <c r="E61" s="68"/>
      <c r="F61" s="71"/>
      <c r="G61" s="68">
        <v>3</v>
      </c>
      <c r="H61" s="68">
        <v>1</v>
      </c>
      <c r="I61" s="68">
        <f t="shared" si="21"/>
        <v>18.72</v>
      </c>
      <c r="J61" s="139"/>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6"/>
    </row>
    <row r="62" spans="1:49" s="16" customFormat="1" ht="15.75" x14ac:dyDescent="0.25">
      <c r="A62" s="142"/>
      <c r="B62" s="142"/>
      <c r="C62" s="142"/>
      <c r="D62" s="142"/>
      <c r="E62" s="142"/>
      <c r="F62" s="142"/>
      <c r="G62" s="142"/>
      <c r="H62" s="142"/>
      <c r="I62" s="72">
        <f>SUM(I59:I61)</f>
        <v>50.5</v>
      </c>
      <c r="J62" s="139"/>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row>
    <row r="63" spans="1:49" s="8" customFormat="1" ht="15.75" x14ac:dyDescent="0.25">
      <c r="A63" s="139"/>
      <c r="B63" s="139"/>
      <c r="C63" s="139"/>
      <c r="D63" s="139"/>
      <c r="E63" s="139"/>
      <c r="F63" s="139"/>
      <c r="G63" s="139"/>
      <c r="H63" s="139"/>
      <c r="I63" s="139"/>
      <c r="J63" s="139"/>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1"/>
    </row>
    <row r="64" spans="1:49" s="8" customFormat="1" ht="31.5" x14ac:dyDescent="0.25">
      <c r="A64" s="57"/>
      <c r="B64" s="58" t="s">
        <v>16</v>
      </c>
      <c r="C64" s="146" t="str">
        <f>'PLANILHA ORÇAMENTÁRIA'!C20</f>
        <v>CONCRETO ESTRUTURAL, PREPARADO EM OBRA COM BETONEIRA, CONTROLE "A", COM FCK 25MPA, BRITA Nº (1), CONSISTÊNCIA PARA VIBRAÇÃO (FABRICAÇÃO)</v>
      </c>
      <c r="D64" s="146"/>
      <c r="E64" s="146"/>
      <c r="F64" s="146"/>
      <c r="G64" s="146"/>
      <c r="H64" s="146"/>
      <c r="I64" s="146"/>
      <c r="J64" s="146"/>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1"/>
    </row>
    <row r="65" spans="1:50" s="10" customFormat="1" ht="15.75" x14ac:dyDescent="0.25">
      <c r="A65" s="108" t="s">
        <v>17</v>
      </c>
      <c r="B65" s="108" t="s">
        <v>18</v>
      </c>
      <c r="C65" s="104" t="s">
        <v>19</v>
      </c>
      <c r="D65" s="108" t="s">
        <v>38</v>
      </c>
      <c r="E65" s="108"/>
      <c r="F65" s="108"/>
      <c r="G65" s="108"/>
      <c r="H65" s="108" t="s">
        <v>29</v>
      </c>
      <c r="I65" s="108" t="s">
        <v>30</v>
      </c>
      <c r="J65" s="108" t="s">
        <v>24</v>
      </c>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6"/>
    </row>
    <row r="66" spans="1:50" s="10" customFormat="1" ht="15.75" x14ac:dyDescent="0.25">
      <c r="A66" s="67" t="str">
        <f>A59</f>
        <v xml:space="preserve">SAPATAS </v>
      </c>
      <c r="B66" s="67"/>
      <c r="C66" s="68"/>
      <c r="D66" s="68">
        <v>4.53</v>
      </c>
      <c r="E66" s="68"/>
      <c r="F66" s="68"/>
      <c r="G66" s="68"/>
      <c r="H66" s="68">
        <v>1</v>
      </c>
      <c r="I66" s="68">
        <f>ROUND(D66*H66,2)</f>
        <v>4.53</v>
      </c>
      <c r="J66" s="143"/>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6"/>
    </row>
    <row r="67" spans="1:50" ht="15.75" x14ac:dyDescent="0.25">
      <c r="A67" s="67" t="str">
        <f t="shared" ref="A67:A68" si="22">A60</f>
        <v xml:space="preserve">VIGAS BALDRAMES </v>
      </c>
      <c r="B67" s="104"/>
      <c r="C67" s="75"/>
      <c r="D67" s="75">
        <v>3.61</v>
      </c>
      <c r="E67" s="105"/>
      <c r="F67" s="105"/>
      <c r="G67" s="105"/>
      <c r="H67" s="68">
        <v>1</v>
      </c>
      <c r="I67" s="68">
        <f t="shared" ref="I67:I68" si="23">ROUND(D67*H67,2)</f>
        <v>3.61</v>
      </c>
      <c r="J67" s="148"/>
    </row>
    <row r="68" spans="1:50" s="7" customFormat="1" ht="15.75" x14ac:dyDescent="0.25">
      <c r="A68" s="67" t="str">
        <f t="shared" si="22"/>
        <v>NIVEL ARRIMO</v>
      </c>
      <c r="B68" s="67"/>
      <c r="C68" s="68"/>
      <c r="D68" s="68">
        <v>3.5</v>
      </c>
      <c r="E68" s="68"/>
      <c r="F68" s="68"/>
      <c r="G68" s="68"/>
      <c r="H68" s="68">
        <v>1</v>
      </c>
      <c r="I68" s="68">
        <f t="shared" si="23"/>
        <v>3.5</v>
      </c>
      <c r="J68" s="148"/>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6"/>
    </row>
    <row r="69" spans="1:50" s="8" customFormat="1" ht="15.75" x14ac:dyDescent="0.25">
      <c r="A69" s="142" t="s">
        <v>15</v>
      </c>
      <c r="B69" s="142"/>
      <c r="C69" s="142"/>
      <c r="D69" s="142"/>
      <c r="E69" s="142"/>
      <c r="F69" s="142"/>
      <c r="G69" s="142"/>
      <c r="H69" s="142"/>
      <c r="I69" s="72">
        <f>SUM(I66:I68)</f>
        <v>11.64</v>
      </c>
      <c r="J69" s="144"/>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1"/>
    </row>
    <row r="70" spans="1:50" s="7" customFormat="1" ht="15.75" x14ac:dyDescent="0.25">
      <c r="A70" s="139"/>
      <c r="B70" s="139"/>
      <c r="C70" s="139"/>
      <c r="D70" s="139"/>
      <c r="E70" s="139"/>
      <c r="F70" s="139"/>
      <c r="G70" s="139"/>
      <c r="H70" s="139"/>
      <c r="I70" s="139"/>
      <c r="J70" s="139"/>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6"/>
    </row>
    <row r="71" spans="1:50" s="7" customFormat="1" ht="31.5" x14ac:dyDescent="0.25">
      <c r="A71" s="57"/>
      <c r="B71" s="58" t="s">
        <v>16</v>
      </c>
      <c r="C71" s="146" t="str">
        <f>'PLANILHA ORÇAMENTÁRIA'!C21</f>
        <v>IMPERMEABILIZAÇÃO COM EMULSÃO ASFÁLTICA, DUAS (2) DEMÃOS</v>
      </c>
      <c r="D71" s="146"/>
      <c r="E71" s="146"/>
      <c r="F71" s="146"/>
      <c r="G71" s="146"/>
      <c r="H71" s="146"/>
      <c r="I71" s="146"/>
      <c r="J71" s="146"/>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6"/>
    </row>
    <row r="72" spans="1:50" s="8" customFormat="1" ht="15.75" x14ac:dyDescent="0.25">
      <c r="A72" s="108" t="s">
        <v>17</v>
      </c>
      <c r="B72" s="108" t="s">
        <v>18</v>
      </c>
      <c r="C72" s="104"/>
      <c r="D72" s="108" t="s">
        <v>20</v>
      </c>
      <c r="E72" s="108" t="s">
        <v>21</v>
      </c>
      <c r="F72" s="108"/>
      <c r="G72" s="108"/>
      <c r="H72" s="108"/>
      <c r="I72" s="108" t="s">
        <v>23</v>
      </c>
      <c r="J72" s="108" t="s">
        <v>24</v>
      </c>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1"/>
    </row>
    <row r="73" spans="1:50" s="8" customFormat="1" ht="15.75" x14ac:dyDescent="0.25">
      <c r="A73" s="69" t="str">
        <f>A60</f>
        <v xml:space="preserve">VIGAS BALDRAMES </v>
      </c>
      <c r="B73" s="67"/>
      <c r="C73" s="68"/>
      <c r="D73" s="68">
        <f>D47</f>
        <v>95.58</v>
      </c>
      <c r="E73" s="68">
        <f>0.14+0.3+0.14</f>
        <v>0.58000000000000007</v>
      </c>
      <c r="F73" s="76"/>
      <c r="G73" s="68"/>
      <c r="H73" s="68">
        <v>1</v>
      </c>
      <c r="I73" s="68">
        <f>ROUND((D73*E73*H73),2)</f>
        <v>55.44</v>
      </c>
      <c r="J73" s="139"/>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1"/>
    </row>
    <row r="74" spans="1:50" s="10" customFormat="1" ht="15.75" x14ac:dyDescent="0.25">
      <c r="A74" s="142" t="s">
        <v>15</v>
      </c>
      <c r="B74" s="142"/>
      <c r="C74" s="142"/>
      <c r="D74" s="142"/>
      <c r="E74" s="142"/>
      <c r="F74" s="142"/>
      <c r="G74" s="142"/>
      <c r="H74" s="142"/>
      <c r="I74" s="72">
        <f>SUM(I73:I73)</f>
        <v>55.44</v>
      </c>
      <c r="J74" s="139"/>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6"/>
    </row>
    <row r="75" spans="1:50" s="12" customFormat="1" ht="15.75" x14ac:dyDescent="0.25">
      <c r="A75" s="139"/>
      <c r="B75" s="139"/>
      <c r="C75" s="139"/>
      <c r="D75" s="139"/>
      <c r="E75" s="139"/>
      <c r="F75" s="139"/>
      <c r="G75" s="139"/>
      <c r="H75" s="139"/>
      <c r="I75" s="139"/>
      <c r="J75" s="139"/>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6"/>
      <c r="AX75" s="10"/>
    </row>
    <row r="76" spans="1:50" s="10" customFormat="1" ht="31.5" x14ac:dyDescent="0.25">
      <c r="A76" s="57"/>
      <c r="B76" s="58" t="s">
        <v>16</v>
      </c>
      <c r="C76" s="146" t="str">
        <f>'PLANILHA ORÇAMENTÁRIA'!C22</f>
        <v>REATERRO MANUAL DE VALA, INCLUSIVE ESPALHAMENTO E COMPACTAÇÃO MECANIZADA COM PLACA VIBRATÓRIA</v>
      </c>
      <c r="D76" s="146"/>
      <c r="E76" s="146"/>
      <c r="F76" s="146"/>
      <c r="G76" s="146"/>
      <c r="H76" s="146"/>
      <c r="I76" s="146"/>
      <c r="J76" s="146"/>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6"/>
    </row>
    <row r="77" spans="1:50" s="10" customFormat="1" ht="15.75" x14ac:dyDescent="0.25">
      <c r="A77" s="108" t="s">
        <v>17</v>
      </c>
      <c r="B77" s="108" t="s">
        <v>18</v>
      </c>
      <c r="C77" s="104" t="s">
        <v>19</v>
      </c>
      <c r="D77" s="108" t="s">
        <v>32</v>
      </c>
      <c r="E77" s="108" t="s">
        <v>33</v>
      </c>
      <c r="F77" s="108" t="s">
        <v>34</v>
      </c>
      <c r="G77" s="108" t="s">
        <v>49</v>
      </c>
      <c r="H77" s="108" t="s">
        <v>29</v>
      </c>
      <c r="I77" s="108" t="s">
        <v>30</v>
      </c>
      <c r="J77" s="108" t="s">
        <v>24</v>
      </c>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6"/>
    </row>
    <row r="78" spans="1:50" s="12" customFormat="1" ht="15.75" x14ac:dyDescent="0.25">
      <c r="A78" s="140" t="s">
        <v>572</v>
      </c>
      <c r="B78" s="140"/>
      <c r="C78" s="67"/>
      <c r="D78" s="68">
        <f>I26</f>
        <v>33.840000000000003</v>
      </c>
      <c r="E78" s="68">
        <f>I69</f>
        <v>11.64</v>
      </c>
      <c r="F78" s="68">
        <f>I48</f>
        <v>2.7</v>
      </c>
      <c r="G78" s="68"/>
      <c r="H78" s="68">
        <v>1</v>
      </c>
      <c r="I78" s="68">
        <f>SUM(D78-(E78+F78))*H78</f>
        <v>19.500000000000004</v>
      </c>
      <c r="J78" s="139"/>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6"/>
      <c r="AX78" s="10"/>
    </row>
    <row r="79" spans="1:50" s="7" customFormat="1" ht="15.75" x14ac:dyDescent="0.25">
      <c r="A79" s="140" t="s">
        <v>571</v>
      </c>
      <c r="B79" s="140"/>
      <c r="C79" s="67"/>
      <c r="D79" s="68"/>
      <c r="E79" s="68"/>
      <c r="F79" s="68"/>
      <c r="G79" s="68">
        <f>I203*0.5</f>
        <v>65.394999999999996</v>
      </c>
      <c r="H79" s="68">
        <v>1</v>
      </c>
      <c r="I79" s="68">
        <f>ROUND(SUM(G79*H79),2)</f>
        <v>65.400000000000006</v>
      </c>
      <c r="J79" s="139"/>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6"/>
    </row>
    <row r="80" spans="1:50" s="8" customFormat="1" ht="15.75" x14ac:dyDescent="0.25">
      <c r="A80" s="142" t="s">
        <v>15</v>
      </c>
      <c r="B80" s="142"/>
      <c r="C80" s="142"/>
      <c r="D80" s="142"/>
      <c r="E80" s="142"/>
      <c r="F80" s="142"/>
      <c r="G80" s="142"/>
      <c r="H80" s="142"/>
      <c r="I80" s="72">
        <f>SUM(I78:I79)</f>
        <v>84.9</v>
      </c>
      <c r="J80" s="139"/>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1"/>
    </row>
    <row r="81" spans="1:50" s="8" customFormat="1" ht="15.75" x14ac:dyDescent="0.25">
      <c r="A81" s="139"/>
      <c r="B81" s="139"/>
      <c r="C81" s="139"/>
      <c r="D81" s="139"/>
      <c r="E81" s="139"/>
      <c r="F81" s="139"/>
      <c r="G81" s="139"/>
      <c r="H81" s="139"/>
      <c r="I81" s="139"/>
      <c r="J81" s="139"/>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1"/>
    </row>
    <row r="82" spans="1:50" s="10" customFormat="1" ht="31.5" x14ac:dyDescent="0.25">
      <c r="A82" s="57"/>
      <c r="B82" s="58" t="s">
        <v>16</v>
      </c>
      <c r="C82" s="146" t="s">
        <v>578</v>
      </c>
      <c r="D82" s="146"/>
      <c r="E82" s="146"/>
      <c r="F82" s="146"/>
      <c r="G82" s="146"/>
      <c r="H82" s="146"/>
      <c r="I82" s="146"/>
      <c r="J82" s="146"/>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6"/>
    </row>
    <row r="83" spans="1:50" s="10" customFormat="1" ht="15.75" x14ac:dyDescent="0.25">
      <c r="A83" s="108" t="s">
        <v>17</v>
      </c>
      <c r="B83" s="108" t="s">
        <v>18</v>
      </c>
      <c r="C83" s="104" t="s">
        <v>19</v>
      </c>
      <c r="D83" s="108"/>
      <c r="E83" s="108"/>
      <c r="F83" s="108"/>
      <c r="G83" s="108" t="s">
        <v>49</v>
      </c>
      <c r="H83" s="108" t="s">
        <v>29</v>
      </c>
      <c r="I83" s="108" t="s">
        <v>30</v>
      </c>
      <c r="J83" s="108" t="s">
        <v>24</v>
      </c>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6"/>
    </row>
    <row r="84" spans="1:50" s="7" customFormat="1" ht="15.75" x14ac:dyDescent="0.25">
      <c r="A84" s="140" t="s">
        <v>571</v>
      </c>
      <c r="B84" s="140"/>
      <c r="C84" s="67"/>
      <c r="D84" s="68"/>
      <c r="E84" s="68"/>
      <c r="F84" s="68"/>
      <c r="G84" s="68">
        <f>G79</f>
        <v>65.394999999999996</v>
      </c>
      <c r="H84" s="68">
        <v>1</v>
      </c>
      <c r="I84" s="68">
        <f>ROUND(SUM(G84*H84),2)</f>
        <v>65.400000000000006</v>
      </c>
      <c r="J84" s="139"/>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6"/>
    </row>
    <row r="85" spans="1:50" s="33" customFormat="1" ht="15.75" x14ac:dyDescent="0.25">
      <c r="A85" s="142" t="s">
        <v>15</v>
      </c>
      <c r="B85" s="142"/>
      <c r="C85" s="142"/>
      <c r="D85" s="142"/>
      <c r="E85" s="142"/>
      <c r="F85" s="142"/>
      <c r="G85" s="142"/>
      <c r="H85" s="142"/>
      <c r="I85" s="72">
        <f>SUM(I84:I84)</f>
        <v>65.400000000000006</v>
      </c>
      <c r="J85" s="139"/>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1"/>
    </row>
    <row r="86" spans="1:50" s="33" customFormat="1" ht="15.75" x14ac:dyDescent="0.25">
      <c r="A86" s="139"/>
      <c r="B86" s="139"/>
      <c r="C86" s="139"/>
      <c r="D86" s="139"/>
      <c r="E86" s="139"/>
      <c r="F86" s="139"/>
      <c r="G86" s="139"/>
      <c r="H86" s="139"/>
      <c r="I86" s="139"/>
      <c r="J86" s="139"/>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1"/>
    </row>
    <row r="87" spans="1:50" s="12" customFormat="1" ht="15.75" x14ac:dyDescent="0.25">
      <c r="A87" s="110" t="s">
        <v>208</v>
      </c>
      <c r="B87" s="145" t="s">
        <v>6</v>
      </c>
      <c r="C87" s="145"/>
      <c r="D87" s="145"/>
      <c r="E87" s="145"/>
      <c r="F87" s="145"/>
      <c r="G87" s="145"/>
      <c r="H87" s="145"/>
      <c r="I87" s="145"/>
      <c r="J87" s="145"/>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6"/>
      <c r="AX87" s="10"/>
    </row>
    <row r="88" spans="1:50" s="8" customFormat="1" ht="31.5" x14ac:dyDescent="0.25">
      <c r="A88" s="57"/>
      <c r="B88" s="58" t="s">
        <v>16</v>
      </c>
      <c r="C88" s="146" t="str">
        <f>'PLANILHA ORÇAMENTÁRIA'!C25</f>
        <v>CORTE, DOBRA E MONTAGEM DE AÇO CA-50/60, INCLUSIVE ESPAÇADOR</v>
      </c>
      <c r="D88" s="146"/>
      <c r="E88" s="146"/>
      <c r="F88" s="146"/>
      <c r="G88" s="146"/>
      <c r="H88" s="146"/>
      <c r="I88" s="146"/>
      <c r="J88" s="146"/>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1"/>
    </row>
    <row r="89" spans="1:50" s="8" customFormat="1" ht="15.75" x14ac:dyDescent="0.25">
      <c r="A89" s="108" t="s">
        <v>17</v>
      </c>
      <c r="B89" s="108" t="s">
        <v>18</v>
      </c>
      <c r="C89" s="104" t="s">
        <v>19</v>
      </c>
      <c r="D89" s="108" t="s">
        <v>35</v>
      </c>
      <c r="E89" s="108"/>
      <c r="F89" s="108"/>
      <c r="G89" s="108"/>
      <c r="H89" s="108" t="s">
        <v>29</v>
      </c>
      <c r="I89" s="108" t="s">
        <v>36</v>
      </c>
      <c r="J89" s="108" t="s">
        <v>24</v>
      </c>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1"/>
    </row>
    <row r="90" spans="1:50" s="30" customFormat="1" ht="15.75" x14ac:dyDescent="0.25">
      <c r="A90" s="67" t="s">
        <v>179</v>
      </c>
      <c r="B90" s="67" t="s">
        <v>180</v>
      </c>
      <c r="C90" s="68"/>
      <c r="D90" s="68">
        <f>300.6+145</f>
        <v>445.6</v>
      </c>
      <c r="E90" s="68"/>
      <c r="F90" s="71"/>
      <c r="G90" s="71"/>
      <c r="H90" s="68">
        <v>1</v>
      </c>
      <c r="I90" s="68">
        <f>ROUND(SUM(D90*H90),2)</f>
        <v>445.6</v>
      </c>
      <c r="J90" s="143"/>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1"/>
    </row>
    <row r="91" spans="1:50" s="15" customFormat="1" ht="15.75" x14ac:dyDescent="0.25">
      <c r="A91" s="142" t="s">
        <v>15</v>
      </c>
      <c r="B91" s="142"/>
      <c r="C91" s="142"/>
      <c r="D91" s="142"/>
      <c r="E91" s="142"/>
      <c r="F91" s="142"/>
      <c r="G91" s="142"/>
      <c r="H91" s="142"/>
      <c r="I91" s="72">
        <f>SUM(I90)</f>
        <v>445.6</v>
      </c>
      <c r="J91" s="144"/>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row>
    <row r="92" spans="1:50" s="15" customFormat="1" ht="15.75" x14ac:dyDescent="0.25">
      <c r="A92" s="139"/>
      <c r="B92" s="139"/>
      <c r="C92" s="139"/>
      <c r="D92" s="139"/>
      <c r="E92" s="139"/>
      <c r="F92" s="139"/>
      <c r="G92" s="139"/>
      <c r="H92" s="139"/>
      <c r="I92" s="139"/>
      <c r="J92" s="139"/>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row>
    <row r="93" spans="1:50" s="10" customFormat="1" ht="31.5" x14ac:dyDescent="0.25">
      <c r="A93" s="57"/>
      <c r="B93" s="58" t="s">
        <v>16</v>
      </c>
      <c r="C93" s="146" t="str">
        <f>'PLANILHA ORÇAMENTÁRIA'!C26</f>
        <v>FÔRMA E DESFORMA DE COMPENSADO PLASTIFICADO, ESP. 12MM, REAPROVEITAMENTO (5X), EXCLUSIVE ESCORAMENTO</v>
      </c>
      <c r="D93" s="146"/>
      <c r="E93" s="146"/>
      <c r="F93" s="146"/>
      <c r="G93" s="146"/>
      <c r="H93" s="146"/>
      <c r="I93" s="146"/>
      <c r="J93" s="146"/>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6"/>
    </row>
    <row r="94" spans="1:50" s="10" customFormat="1" ht="15.75" x14ac:dyDescent="0.25">
      <c r="A94" s="108" t="s">
        <v>17</v>
      </c>
      <c r="B94" s="108" t="s">
        <v>18</v>
      </c>
      <c r="C94" s="104" t="s">
        <v>19</v>
      </c>
      <c r="D94" s="108" t="s">
        <v>37</v>
      </c>
      <c r="E94" s="108"/>
      <c r="F94" s="108"/>
      <c r="G94" s="108" t="s">
        <v>64</v>
      </c>
      <c r="H94" s="108" t="s">
        <v>29</v>
      </c>
      <c r="I94" s="108" t="s">
        <v>23</v>
      </c>
      <c r="J94" s="108" t="s">
        <v>24</v>
      </c>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6"/>
    </row>
    <row r="95" spans="1:50" s="4" customFormat="1" ht="15.75" x14ac:dyDescent="0.25">
      <c r="A95" s="67" t="str">
        <f>A90</f>
        <v xml:space="preserve">SUPRAESTRUTURA </v>
      </c>
      <c r="B95" s="67"/>
      <c r="C95" s="68"/>
      <c r="D95" s="68">
        <v>100.74</v>
      </c>
      <c r="E95" s="68"/>
      <c r="F95" s="68"/>
      <c r="G95" s="68">
        <v>3</v>
      </c>
      <c r="H95" s="68">
        <v>1</v>
      </c>
      <c r="I95" s="68">
        <f>ROUND((D95*H95)/G95,2)</f>
        <v>33.58</v>
      </c>
      <c r="J95" s="143"/>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row>
    <row r="96" spans="1:50" s="15" customFormat="1" ht="15.75" x14ac:dyDescent="0.25">
      <c r="A96" s="142"/>
      <c r="B96" s="142"/>
      <c r="C96" s="142"/>
      <c r="D96" s="142"/>
      <c r="E96" s="142"/>
      <c r="F96" s="142"/>
      <c r="G96" s="142"/>
      <c r="H96" s="142"/>
      <c r="I96" s="72">
        <f>SUM(I95:I95)</f>
        <v>33.58</v>
      </c>
      <c r="J96" s="144"/>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row>
    <row r="97" spans="1:49" s="15" customFormat="1" ht="15.75" x14ac:dyDescent="0.25">
      <c r="A97" s="139"/>
      <c r="B97" s="139"/>
      <c r="C97" s="139"/>
      <c r="D97" s="139"/>
      <c r="E97" s="139"/>
      <c r="F97" s="139"/>
      <c r="G97" s="139"/>
      <c r="H97" s="139"/>
      <c r="I97" s="139"/>
      <c r="J97" s="139"/>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row>
    <row r="98" spans="1:49" s="10" customFormat="1" ht="31.5" x14ac:dyDescent="0.25">
      <c r="A98" s="57"/>
      <c r="B98" s="58" t="s">
        <v>16</v>
      </c>
      <c r="C98" s="146" t="str">
        <f>'PLANILHA ORÇAMENTÁRIA'!C27</f>
        <v>FORNECIMENTO DE CONCRETO ESTRUTURAL, PREPARADO EM OBRA, COM FCK 25MPA, INCLUSIVE LANÇAMENTO, ADENSAMENTO E ACABAMENTO</v>
      </c>
      <c r="D98" s="146"/>
      <c r="E98" s="146"/>
      <c r="F98" s="146"/>
      <c r="G98" s="146"/>
      <c r="H98" s="146"/>
      <c r="I98" s="146"/>
      <c r="J98" s="146"/>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6"/>
    </row>
    <row r="99" spans="1:49" s="10" customFormat="1" ht="15.75" x14ac:dyDescent="0.25">
      <c r="A99" s="108" t="s">
        <v>17</v>
      </c>
      <c r="B99" s="108" t="s">
        <v>18</v>
      </c>
      <c r="C99" s="104" t="s">
        <v>19</v>
      </c>
      <c r="D99" s="108" t="s">
        <v>38</v>
      </c>
      <c r="E99" s="108"/>
      <c r="F99" s="108"/>
      <c r="G99" s="108"/>
      <c r="H99" s="108" t="s">
        <v>29</v>
      </c>
      <c r="I99" s="108" t="s">
        <v>30</v>
      </c>
      <c r="J99" s="108" t="s">
        <v>24</v>
      </c>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6"/>
    </row>
    <row r="100" spans="1:49" s="4" customFormat="1" ht="15.75" x14ac:dyDescent="0.25">
      <c r="A100" s="67" t="str">
        <f>A95</f>
        <v xml:space="preserve">SUPRAESTRUTURA </v>
      </c>
      <c r="B100" s="67"/>
      <c r="C100" s="68"/>
      <c r="D100" s="68">
        <v>6.35</v>
      </c>
      <c r="E100" s="68"/>
      <c r="F100" s="68"/>
      <c r="G100" s="68"/>
      <c r="H100" s="68">
        <v>1</v>
      </c>
      <c r="I100" s="68">
        <f>ROUND(D100*H100,2)</f>
        <v>6.35</v>
      </c>
      <c r="J100" s="139"/>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row>
    <row r="101" spans="1:49" s="15" customFormat="1" ht="15.75" x14ac:dyDescent="0.25">
      <c r="A101" s="142" t="s">
        <v>15</v>
      </c>
      <c r="B101" s="142"/>
      <c r="C101" s="142"/>
      <c r="D101" s="142"/>
      <c r="E101" s="142"/>
      <c r="F101" s="142"/>
      <c r="G101" s="142"/>
      <c r="H101" s="142"/>
      <c r="I101" s="72">
        <f>SUM(I100:I100)</f>
        <v>6.35</v>
      </c>
      <c r="J101" s="139"/>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row>
    <row r="102" spans="1:49" s="15" customFormat="1" ht="15.75" x14ac:dyDescent="0.25">
      <c r="A102" s="139"/>
      <c r="B102" s="139"/>
      <c r="C102" s="139"/>
      <c r="D102" s="139"/>
      <c r="E102" s="139"/>
      <c r="F102" s="139"/>
      <c r="G102" s="139"/>
      <c r="H102" s="139"/>
      <c r="I102" s="139"/>
      <c r="J102" s="139"/>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row>
    <row r="103" spans="1:49" s="15" customFormat="1" ht="31.5" x14ac:dyDescent="0.25">
      <c r="A103" s="57"/>
      <c r="B103" s="58" t="s">
        <v>16</v>
      </c>
      <c r="C103" s="146" t="str">
        <f>'PLANILHA ORÇAMENTÁRIA'!C28</f>
        <v>CIMBRAMENTO PARA LAJE PRÉ-MOLDADA COM ESCORAMENTO METÁLICO, TIPO "A", ALTURA DE (200 ATÉ 310)CM, INCLUSIVE DESCARGA, MONTAGEM, DESMONTAGEM E CARGA</v>
      </c>
      <c r="D103" s="146"/>
      <c r="E103" s="146"/>
      <c r="F103" s="146"/>
      <c r="G103" s="146"/>
      <c r="H103" s="146"/>
      <c r="I103" s="146"/>
      <c r="J103" s="146"/>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row>
    <row r="104" spans="1:49" s="15" customFormat="1" ht="15.75" x14ac:dyDescent="0.25">
      <c r="A104" s="108" t="s">
        <v>17</v>
      </c>
      <c r="B104" s="108" t="s">
        <v>18</v>
      </c>
      <c r="C104" s="104" t="s">
        <v>19</v>
      </c>
      <c r="D104" s="108" t="s">
        <v>37</v>
      </c>
      <c r="E104" s="108" t="s">
        <v>583</v>
      </c>
      <c r="F104" s="108"/>
      <c r="G104" s="108"/>
      <c r="H104" s="108" t="s">
        <v>29</v>
      </c>
      <c r="I104" s="108" t="s">
        <v>584</v>
      </c>
      <c r="J104" s="108" t="s">
        <v>24</v>
      </c>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row>
    <row r="105" spans="1:49" s="15" customFormat="1" ht="15.75" x14ac:dyDescent="0.25">
      <c r="A105" s="67" t="str">
        <f>A100</f>
        <v xml:space="preserve">SUPRAESTRUTURA </v>
      </c>
      <c r="B105" s="67"/>
      <c r="C105" s="68"/>
      <c r="D105" s="68">
        <f>D110</f>
        <v>12</v>
      </c>
      <c r="E105" s="68">
        <v>1</v>
      </c>
      <c r="F105" s="68"/>
      <c r="G105" s="68"/>
      <c r="H105" s="68">
        <v>1</v>
      </c>
      <c r="I105" s="68">
        <f>ROUND(D105*H105,2)</f>
        <v>12</v>
      </c>
      <c r="J105" s="139"/>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row>
    <row r="106" spans="1:49" s="15" customFormat="1" ht="15.75" x14ac:dyDescent="0.25">
      <c r="A106" s="142" t="s">
        <v>15</v>
      </c>
      <c r="B106" s="142"/>
      <c r="C106" s="142"/>
      <c r="D106" s="142"/>
      <c r="E106" s="142"/>
      <c r="F106" s="142"/>
      <c r="G106" s="142"/>
      <c r="H106" s="142"/>
      <c r="I106" s="72">
        <f>SUM(I105:I105)</f>
        <v>12</v>
      </c>
      <c r="J106" s="139"/>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row>
    <row r="107" spans="1:49" s="15" customFormat="1" ht="15.75" x14ac:dyDescent="0.25">
      <c r="A107" s="139"/>
      <c r="B107" s="139"/>
      <c r="C107" s="139"/>
      <c r="D107" s="139"/>
      <c r="E107" s="139"/>
      <c r="F107" s="139"/>
      <c r="G107" s="139"/>
      <c r="H107" s="139"/>
      <c r="I107" s="139"/>
      <c r="J107" s="139"/>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row>
    <row r="108" spans="1:49" s="10" customFormat="1" ht="31.5" x14ac:dyDescent="0.25">
      <c r="A108" s="57"/>
      <c r="B108" s="58" t="s">
        <v>16</v>
      </c>
      <c r="C108" s="146" t="str">
        <f>'PLANILHA ORÇAMENTÁRIA'!C29</f>
        <v>LAJE PRÉ-MOLDADA UNIDIRECIONAL COM ENCHIMENTO EM POLIESTIRENO EXPANDIDO (EPS), CAPEAMENTO DE 4CM, SOBRECARGA DE 100KG/M2, ALTURA TOTAL DE 11CM E VÃO LIVRE MÁXIMO DE 3M, INCLUSIVE CONCRETO ESTRUTURAL, USINADO BOMBEADO COM FCK DE 20MPA, EXCLUSIVE TELA ARMADA E CIMBRAMENTO</v>
      </c>
      <c r="D108" s="146"/>
      <c r="E108" s="146"/>
      <c r="F108" s="146"/>
      <c r="G108" s="146"/>
      <c r="H108" s="146"/>
      <c r="I108" s="146"/>
      <c r="J108" s="146"/>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6"/>
    </row>
    <row r="109" spans="1:49" s="10" customFormat="1" ht="15.75" x14ac:dyDescent="0.25">
      <c r="A109" s="108" t="s">
        <v>17</v>
      </c>
      <c r="B109" s="108" t="s">
        <v>18</v>
      </c>
      <c r="C109" s="104" t="s">
        <v>19</v>
      </c>
      <c r="D109" s="108" t="s">
        <v>37</v>
      </c>
      <c r="E109" s="108"/>
      <c r="F109" s="108"/>
      <c r="G109" s="108"/>
      <c r="H109" s="108" t="s">
        <v>29</v>
      </c>
      <c r="I109" s="108" t="s">
        <v>23</v>
      </c>
      <c r="J109" s="108" t="s">
        <v>24</v>
      </c>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6"/>
    </row>
    <row r="110" spans="1:49" s="4" customFormat="1" ht="15.75" x14ac:dyDescent="0.25">
      <c r="A110" s="67" t="str">
        <f>A95</f>
        <v xml:space="preserve">SUPRAESTRUTURA </v>
      </c>
      <c r="B110" s="67"/>
      <c r="C110" s="67"/>
      <c r="D110" s="68">
        <f>6*2</f>
        <v>12</v>
      </c>
      <c r="E110" s="68"/>
      <c r="F110" s="68"/>
      <c r="G110" s="68"/>
      <c r="H110" s="68">
        <v>1</v>
      </c>
      <c r="I110" s="68">
        <f>ROUND(D110*H110,2)</f>
        <v>12</v>
      </c>
      <c r="J110" s="143"/>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row>
    <row r="111" spans="1:49" s="15" customFormat="1" ht="15.75" x14ac:dyDescent="0.25">
      <c r="A111" s="142" t="s">
        <v>15</v>
      </c>
      <c r="B111" s="142"/>
      <c r="C111" s="142"/>
      <c r="D111" s="142"/>
      <c r="E111" s="142"/>
      <c r="F111" s="142"/>
      <c r="G111" s="142"/>
      <c r="H111" s="142"/>
      <c r="I111" s="72">
        <f>SUM(I110:I110)</f>
        <v>12</v>
      </c>
      <c r="J111" s="144"/>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row>
    <row r="112" spans="1:49" s="15" customFormat="1" ht="15.75" x14ac:dyDescent="0.25">
      <c r="A112" s="139"/>
      <c r="B112" s="139"/>
      <c r="C112" s="139"/>
      <c r="D112" s="139"/>
      <c r="E112" s="139"/>
      <c r="F112" s="139"/>
      <c r="G112" s="139"/>
      <c r="H112" s="139"/>
      <c r="I112" s="139"/>
      <c r="J112" s="139"/>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row>
    <row r="113" spans="1:48" s="17" customFormat="1" ht="15.75" x14ac:dyDescent="0.25">
      <c r="A113" s="110" t="s">
        <v>207</v>
      </c>
      <c r="B113" s="145" t="s">
        <v>39</v>
      </c>
      <c r="C113" s="145"/>
      <c r="D113" s="145"/>
      <c r="E113" s="145"/>
      <c r="F113" s="145"/>
      <c r="G113" s="145"/>
      <c r="H113" s="145"/>
      <c r="I113" s="145"/>
      <c r="J113" s="145"/>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row>
    <row r="114" spans="1:48" s="18" customFormat="1" ht="31.5" x14ac:dyDescent="0.25">
      <c r="A114" s="57"/>
      <c r="B114" s="58" t="s">
        <v>16</v>
      </c>
      <c r="C114" s="150" t="str">
        <f>'PLANILHA ORÇAMENTÁRIA'!C31</f>
        <v>ALVENARIA DE VEDAÇÃO COM BLOCO DE CONCRETO, ESP. 14CM, INCLUSIVE ARGAMASSA PARA ASSENTAMENTO</v>
      </c>
      <c r="D114" s="150"/>
      <c r="E114" s="150"/>
      <c r="F114" s="150"/>
      <c r="G114" s="150"/>
      <c r="H114" s="150"/>
      <c r="I114" s="150"/>
      <c r="J114" s="150"/>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row>
    <row r="115" spans="1:48" s="18" customFormat="1" ht="15.75" x14ac:dyDescent="0.25">
      <c r="A115" s="59" t="s">
        <v>17</v>
      </c>
      <c r="B115" s="59" t="s">
        <v>18</v>
      </c>
      <c r="C115" s="150"/>
      <c r="D115" s="150"/>
      <c r="E115" s="150"/>
      <c r="F115" s="150"/>
      <c r="G115" s="150"/>
      <c r="H115" s="150"/>
      <c r="I115" s="150"/>
      <c r="J115" s="150"/>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row>
    <row r="116" spans="1:48" s="17" customFormat="1" ht="31.5" x14ac:dyDescent="0.25">
      <c r="A116" s="151" t="s">
        <v>40</v>
      </c>
      <c r="B116" s="151"/>
      <c r="C116" s="106" t="s">
        <v>0</v>
      </c>
      <c r="D116" s="106" t="s">
        <v>41</v>
      </c>
      <c r="E116" s="106" t="s">
        <v>42</v>
      </c>
      <c r="F116" s="106" t="s">
        <v>43</v>
      </c>
      <c r="G116" s="106" t="s">
        <v>122</v>
      </c>
      <c r="H116" s="106" t="s">
        <v>44</v>
      </c>
      <c r="I116" s="106" t="s">
        <v>23</v>
      </c>
      <c r="J116" s="106" t="s">
        <v>24</v>
      </c>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row>
    <row r="117" spans="1:48" s="20" customFormat="1" ht="15.75" x14ac:dyDescent="0.25">
      <c r="A117" s="152" t="s">
        <v>91</v>
      </c>
      <c r="B117" s="152"/>
      <c r="C117" s="77"/>
      <c r="D117" s="77">
        <v>2</v>
      </c>
      <c r="E117" s="77">
        <v>3</v>
      </c>
      <c r="F117" s="77">
        <v>1</v>
      </c>
      <c r="G117" s="78"/>
      <c r="H117" s="77"/>
      <c r="I117" s="77">
        <f>ROUND(SUM((D117*E117*F117)-H117),2)</f>
        <v>6</v>
      </c>
      <c r="J117" s="15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row>
    <row r="118" spans="1:48" s="20" customFormat="1" ht="15.75" x14ac:dyDescent="0.25">
      <c r="A118" s="152" t="s">
        <v>92</v>
      </c>
      <c r="B118" s="152"/>
      <c r="C118" s="77"/>
      <c r="D118" s="77">
        <v>2</v>
      </c>
      <c r="E118" s="77">
        <v>3</v>
      </c>
      <c r="F118" s="77">
        <v>1</v>
      </c>
      <c r="G118" s="78"/>
      <c r="H118" s="77"/>
      <c r="I118" s="77">
        <f t="shared" ref="I118:I124" si="24">ROUND(SUM((D118*E118*F118)-H118),2)</f>
        <v>6</v>
      </c>
      <c r="J118" s="15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row>
    <row r="119" spans="1:48" s="20" customFormat="1" ht="15.75" x14ac:dyDescent="0.25">
      <c r="A119" s="152" t="s">
        <v>93</v>
      </c>
      <c r="B119" s="152"/>
      <c r="C119" s="77"/>
      <c r="D119" s="77">
        <v>2</v>
      </c>
      <c r="E119" s="77">
        <v>3</v>
      </c>
      <c r="F119" s="77">
        <v>1</v>
      </c>
      <c r="G119" s="78"/>
      <c r="H119" s="77"/>
      <c r="I119" s="77">
        <f t="shared" si="24"/>
        <v>6</v>
      </c>
      <c r="J119" s="15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row>
    <row r="120" spans="1:48" s="20" customFormat="1" ht="15.75" x14ac:dyDescent="0.25">
      <c r="A120" s="152" t="s">
        <v>94</v>
      </c>
      <c r="B120" s="152"/>
      <c r="C120" s="77" t="s">
        <v>136</v>
      </c>
      <c r="D120" s="77">
        <f>1.4+3.44</f>
        <v>4.84</v>
      </c>
      <c r="E120" s="77">
        <v>3</v>
      </c>
      <c r="F120" s="77">
        <v>1</v>
      </c>
      <c r="G120" s="78" t="s">
        <v>97</v>
      </c>
      <c r="H120" s="77">
        <f>1.89*2</f>
        <v>3.78</v>
      </c>
      <c r="I120" s="77">
        <f t="shared" si="24"/>
        <v>10.74</v>
      </c>
      <c r="J120" s="15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row>
    <row r="121" spans="1:48" s="20" customFormat="1" ht="31.5" x14ac:dyDescent="0.25">
      <c r="A121" s="152" t="s">
        <v>96</v>
      </c>
      <c r="B121" s="152"/>
      <c r="C121" s="77" t="s">
        <v>137</v>
      </c>
      <c r="D121" s="77">
        <f>3.8+11.86+2+0.2+0.2+6.64+5.22</f>
        <v>29.919999999999998</v>
      </c>
      <c r="E121" s="77">
        <v>3</v>
      </c>
      <c r="F121" s="77">
        <v>1</v>
      </c>
      <c r="G121" s="78" t="s">
        <v>98</v>
      </c>
      <c r="H121" s="77">
        <f>(0.6*0.6*4)+(0.9*2.1*3)+(1.1*1.2*2)+(0.8*2.1)</f>
        <v>11.43</v>
      </c>
      <c r="I121" s="77">
        <f t="shared" si="24"/>
        <v>78.33</v>
      </c>
      <c r="J121" s="15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row>
    <row r="122" spans="1:48" s="20" customFormat="1" ht="15.75" x14ac:dyDescent="0.25">
      <c r="A122" s="152" t="s">
        <v>127</v>
      </c>
      <c r="B122" s="152"/>
      <c r="C122" s="77" t="s">
        <v>139</v>
      </c>
      <c r="D122" s="77">
        <f>8.5+1.8+7.26+1.8+2.6</f>
        <v>21.960000000000004</v>
      </c>
      <c r="E122" s="77">
        <v>0.6</v>
      </c>
      <c r="F122" s="77">
        <v>1</v>
      </c>
      <c r="G122" s="78"/>
      <c r="H122" s="77"/>
      <c r="I122" s="77">
        <f t="shared" si="24"/>
        <v>13.18</v>
      </c>
      <c r="J122" s="15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row>
    <row r="123" spans="1:48" s="20" customFormat="1" ht="15.75" x14ac:dyDescent="0.25">
      <c r="A123" s="152" t="s">
        <v>128</v>
      </c>
      <c r="B123" s="152"/>
      <c r="C123" s="77" t="s">
        <v>214</v>
      </c>
      <c r="D123" s="77">
        <f>3.1*2+3*2+1.9*2</f>
        <v>16</v>
      </c>
      <c r="E123" s="77">
        <v>0.6</v>
      </c>
      <c r="F123" s="77">
        <v>1</v>
      </c>
      <c r="G123" s="78"/>
      <c r="H123" s="77"/>
      <c r="I123" s="77">
        <f t="shared" si="24"/>
        <v>9.6</v>
      </c>
      <c r="J123" s="15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row>
    <row r="124" spans="1:48" s="20" customFormat="1" ht="15.75" x14ac:dyDescent="0.25">
      <c r="A124" s="152" t="s">
        <v>210</v>
      </c>
      <c r="B124" s="152"/>
      <c r="C124" s="77"/>
      <c r="D124" s="77">
        <v>2.6</v>
      </c>
      <c r="E124" s="77">
        <v>0.75</v>
      </c>
      <c r="F124" s="77">
        <v>1</v>
      </c>
      <c r="G124" s="78"/>
      <c r="H124" s="77"/>
      <c r="I124" s="77">
        <f t="shared" si="24"/>
        <v>1.95</v>
      </c>
      <c r="J124" s="15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row>
    <row r="125" spans="1:48" s="17" customFormat="1" ht="15.75" x14ac:dyDescent="0.25">
      <c r="A125" s="149"/>
      <c r="B125" s="149"/>
      <c r="C125" s="149"/>
      <c r="D125" s="149"/>
      <c r="E125" s="149"/>
      <c r="F125" s="149"/>
      <c r="G125" s="149"/>
      <c r="H125" s="149"/>
      <c r="I125" s="79">
        <f>ROUND(SUM(I117:I124),2)</f>
        <v>131.80000000000001</v>
      </c>
      <c r="J125" s="15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row>
    <row r="126" spans="1:48" s="17" customFormat="1" ht="15.75" x14ac:dyDescent="0.25">
      <c r="A126" s="151"/>
      <c r="B126" s="151"/>
      <c r="C126" s="151"/>
      <c r="D126" s="151"/>
      <c r="E126" s="151"/>
      <c r="F126" s="151"/>
      <c r="G126" s="151"/>
      <c r="H126" s="151"/>
      <c r="I126" s="151"/>
      <c r="J126" s="15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row>
    <row r="127" spans="1:48" s="18" customFormat="1" ht="31.5" x14ac:dyDescent="0.25">
      <c r="A127" s="57"/>
      <c r="B127" s="58" t="s">
        <v>16</v>
      </c>
      <c r="C127" s="150" t="str">
        <f>'PLANILHA ORÇAMENTÁRIA'!C32</f>
        <v>VERGA OU CONTRAVERGA EM CONCRETO ESTRUTURAL PARA VÃOS ACIMA DE 150CM, PREPARADO EM OBRA COM BETONEIRA, CONTROLE "A", COM FCK 20 MPA, MOLDADA IN LOCO, INCLUSIVE ARMAÇÃO</v>
      </c>
      <c r="D127" s="150"/>
      <c r="E127" s="150"/>
      <c r="F127" s="150"/>
      <c r="G127" s="150"/>
      <c r="H127" s="150"/>
      <c r="I127" s="150"/>
      <c r="J127" s="150"/>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row>
    <row r="128" spans="1:48" s="18" customFormat="1" ht="15.75" x14ac:dyDescent="0.25">
      <c r="A128" s="59" t="s">
        <v>17</v>
      </c>
      <c r="B128" s="59" t="s">
        <v>18</v>
      </c>
      <c r="C128" s="150"/>
      <c r="D128" s="150"/>
      <c r="E128" s="150"/>
      <c r="F128" s="150"/>
      <c r="G128" s="150"/>
      <c r="H128" s="150"/>
      <c r="I128" s="150"/>
      <c r="J128" s="150"/>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row>
    <row r="129" spans="1:48" s="18" customFormat="1" ht="31.5" x14ac:dyDescent="0.25">
      <c r="A129" s="151" t="s">
        <v>40</v>
      </c>
      <c r="B129" s="151"/>
      <c r="C129" s="106" t="s">
        <v>0</v>
      </c>
      <c r="D129" s="106" t="s">
        <v>45</v>
      </c>
      <c r="E129" s="106" t="s">
        <v>21</v>
      </c>
      <c r="F129" s="106" t="s">
        <v>31</v>
      </c>
      <c r="G129" s="106"/>
      <c r="H129" s="106" t="s">
        <v>181</v>
      </c>
      <c r="I129" s="106" t="s">
        <v>30</v>
      </c>
      <c r="J129" s="106" t="s">
        <v>24</v>
      </c>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row>
    <row r="130" spans="1:48" s="18" customFormat="1" ht="15.75" x14ac:dyDescent="0.25">
      <c r="A130" s="141" t="s">
        <v>99</v>
      </c>
      <c r="B130" s="141"/>
      <c r="C130" s="78" t="s">
        <v>103</v>
      </c>
      <c r="D130" s="77">
        <f>0.9+0.6</f>
        <v>1.5</v>
      </c>
      <c r="E130" s="77">
        <v>0.1</v>
      </c>
      <c r="F130" s="77">
        <v>0.1</v>
      </c>
      <c r="G130" s="77"/>
      <c r="H130" s="77">
        <v>4</v>
      </c>
      <c r="I130" s="77">
        <f>ROUND(SUM(E130*D130*F130*H130),2)</f>
        <v>0.06</v>
      </c>
      <c r="J130" s="15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row>
    <row r="131" spans="1:48" s="20" customFormat="1" ht="15.75" x14ac:dyDescent="0.25">
      <c r="A131" s="141" t="s">
        <v>100</v>
      </c>
      <c r="B131" s="141"/>
      <c r="C131" s="78" t="s">
        <v>104</v>
      </c>
      <c r="D131" s="77">
        <f>0.9+0.6</f>
        <v>1.5</v>
      </c>
      <c r="E131" s="77">
        <v>0.1</v>
      </c>
      <c r="F131" s="77">
        <v>0.1</v>
      </c>
      <c r="G131" s="77"/>
      <c r="H131" s="77">
        <v>1</v>
      </c>
      <c r="I131" s="77">
        <f t="shared" ref="I131:I133" si="25">ROUND(SUM(E131*D131*F131*H131),2)</f>
        <v>0.02</v>
      </c>
      <c r="J131" s="15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row>
    <row r="132" spans="1:48" s="18" customFormat="1" ht="15.75" x14ac:dyDescent="0.25">
      <c r="A132" s="141" t="s">
        <v>101</v>
      </c>
      <c r="B132" s="141"/>
      <c r="C132" s="78" t="s">
        <v>105</v>
      </c>
      <c r="D132" s="77">
        <f>0.6+0.6</f>
        <v>1.2</v>
      </c>
      <c r="E132" s="77">
        <v>0.1</v>
      </c>
      <c r="F132" s="77">
        <v>0.1</v>
      </c>
      <c r="G132" s="77"/>
      <c r="H132" s="77">
        <v>4</v>
      </c>
      <c r="I132" s="77">
        <f t="shared" si="25"/>
        <v>0.05</v>
      </c>
      <c r="J132" s="15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row>
    <row r="133" spans="1:48" s="18" customFormat="1" ht="15.75" x14ac:dyDescent="0.25">
      <c r="A133" s="141" t="s">
        <v>102</v>
      </c>
      <c r="B133" s="141"/>
      <c r="C133" s="78" t="s">
        <v>106</v>
      </c>
      <c r="D133" s="77">
        <f>1.2+0.6</f>
        <v>1.7999999999999998</v>
      </c>
      <c r="E133" s="77">
        <v>0.1</v>
      </c>
      <c r="F133" s="77">
        <v>0.1</v>
      </c>
      <c r="G133" s="77"/>
      <c r="H133" s="77">
        <v>2</v>
      </c>
      <c r="I133" s="77">
        <f t="shared" si="25"/>
        <v>0.04</v>
      </c>
      <c r="J133" s="15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row>
    <row r="134" spans="1:48" s="18" customFormat="1" ht="15.75" x14ac:dyDescent="0.25">
      <c r="A134" s="149" t="s">
        <v>15</v>
      </c>
      <c r="B134" s="149"/>
      <c r="C134" s="149"/>
      <c r="D134" s="149"/>
      <c r="E134" s="149"/>
      <c r="F134" s="149"/>
      <c r="G134" s="149"/>
      <c r="H134" s="149"/>
      <c r="I134" s="79">
        <f>ROUND(SUM(I130:I133),2)</f>
        <v>0.17</v>
      </c>
      <c r="J134" s="15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row>
    <row r="135" spans="1:48" s="17" customFormat="1" ht="15.75" x14ac:dyDescent="0.25">
      <c r="A135" s="151"/>
      <c r="B135" s="151"/>
      <c r="C135" s="151"/>
      <c r="D135" s="151"/>
      <c r="E135" s="151"/>
      <c r="F135" s="151"/>
      <c r="G135" s="151"/>
      <c r="H135" s="151"/>
      <c r="I135" s="151"/>
      <c r="J135" s="15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row>
    <row r="136" spans="1:48" s="18" customFormat="1" ht="31.5" x14ac:dyDescent="0.25">
      <c r="A136" s="57"/>
      <c r="B136" s="58" t="s">
        <v>16</v>
      </c>
      <c r="C136" s="150" t="str">
        <f>'PLANILHA ORÇAMENTÁRIA'!C33</f>
        <v>CHAPISCO COM ARGAMASSA, TRAÇO 1:3 (CIMENTO E AREIA), ESP. 5MM, APLICADO EM ALVENARIA/ESTRUTURA DE CONCRETO COM COLHER, INCLUSIVE ARGAMASSA COM PREPARO MECANIZADO</v>
      </c>
      <c r="D136" s="150"/>
      <c r="E136" s="150"/>
      <c r="F136" s="150"/>
      <c r="G136" s="150"/>
      <c r="H136" s="150"/>
      <c r="I136" s="150"/>
      <c r="J136" s="150"/>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row>
    <row r="137" spans="1:48" s="18" customFormat="1" ht="15.75" x14ac:dyDescent="0.25">
      <c r="A137" s="59" t="s">
        <v>17</v>
      </c>
      <c r="B137" s="59" t="s">
        <v>18</v>
      </c>
      <c r="C137" s="150"/>
      <c r="D137" s="150"/>
      <c r="E137" s="150"/>
      <c r="F137" s="150"/>
      <c r="G137" s="150"/>
      <c r="H137" s="150"/>
      <c r="I137" s="150"/>
      <c r="J137" s="150"/>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row>
    <row r="138" spans="1:48" s="17" customFormat="1" ht="31.5" x14ac:dyDescent="0.25">
      <c r="A138" s="151" t="s">
        <v>40</v>
      </c>
      <c r="B138" s="151"/>
      <c r="C138" s="106" t="s">
        <v>0</v>
      </c>
      <c r="D138" s="106" t="s">
        <v>41</v>
      </c>
      <c r="E138" s="106" t="s">
        <v>42</v>
      </c>
      <c r="F138" s="106" t="s">
        <v>138</v>
      </c>
      <c r="G138" s="106" t="s">
        <v>0</v>
      </c>
      <c r="H138" s="106" t="s">
        <v>44</v>
      </c>
      <c r="I138" s="106" t="s">
        <v>23</v>
      </c>
      <c r="J138" s="106" t="s">
        <v>24</v>
      </c>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row>
    <row r="139" spans="1:48" s="20" customFormat="1" ht="15.75" x14ac:dyDescent="0.25">
      <c r="A139" s="141" t="s">
        <v>91</v>
      </c>
      <c r="B139" s="141"/>
      <c r="C139" s="77" t="s">
        <v>107</v>
      </c>
      <c r="D139" s="77">
        <f>1.98+2+1.98+2</f>
        <v>7.96</v>
      </c>
      <c r="E139" s="77">
        <v>3</v>
      </c>
      <c r="F139" s="77">
        <v>1</v>
      </c>
      <c r="G139" s="78" t="s">
        <v>143</v>
      </c>
      <c r="H139" s="77">
        <f>(0.6*0.6)+(0.9*2.1)</f>
        <v>2.25</v>
      </c>
      <c r="I139" s="77">
        <f>ROUND(SUM((D139*E139*F139)-H139),2)</f>
        <v>21.63</v>
      </c>
      <c r="J139" s="153"/>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row>
    <row r="140" spans="1:48" s="20" customFormat="1" ht="15.75" x14ac:dyDescent="0.25">
      <c r="A140" s="141" t="s">
        <v>114</v>
      </c>
      <c r="B140" s="141"/>
      <c r="C140" s="77" t="s">
        <v>108</v>
      </c>
      <c r="D140" s="77">
        <f>2*4</f>
        <v>8</v>
      </c>
      <c r="E140" s="77">
        <v>3</v>
      </c>
      <c r="F140" s="77">
        <v>1</v>
      </c>
      <c r="G140" s="78" t="s">
        <v>109</v>
      </c>
      <c r="H140" s="77">
        <f t="shared" ref="H140:H141" si="26">(0.6*0.6)+(0.9*2.1)</f>
        <v>2.25</v>
      </c>
      <c r="I140" s="77">
        <f t="shared" ref="I140:I142" si="27">ROUND(SUM((D140*E140*F140)-H140),2)</f>
        <v>21.75</v>
      </c>
      <c r="J140" s="154"/>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row>
    <row r="141" spans="1:48" s="20" customFormat="1" ht="15.75" x14ac:dyDescent="0.25">
      <c r="A141" s="141" t="s">
        <v>93</v>
      </c>
      <c r="B141" s="141"/>
      <c r="C141" s="77" t="s">
        <v>108</v>
      </c>
      <c r="D141" s="77">
        <f>2*4</f>
        <v>8</v>
      </c>
      <c r="E141" s="77">
        <v>3</v>
      </c>
      <c r="F141" s="77">
        <v>1</v>
      </c>
      <c r="G141" s="78" t="s">
        <v>109</v>
      </c>
      <c r="H141" s="77">
        <f t="shared" si="26"/>
        <v>2.25</v>
      </c>
      <c r="I141" s="77">
        <f t="shared" si="27"/>
        <v>21.75</v>
      </c>
      <c r="J141" s="154"/>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row>
    <row r="142" spans="1:48" s="20" customFormat="1" ht="15.75" x14ac:dyDescent="0.25">
      <c r="A142" s="141" t="s">
        <v>94</v>
      </c>
      <c r="B142" s="141"/>
      <c r="C142" s="77" t="s">
        <v>110</v>
      </c>
      <c r="D142" s="77">
        <f>2.64+3.44+2.64+3.44</f>
        <v>12.16</v>
      </c>
      <c r="E142" s="77">
        <v>3</v>
      </c>
      <c r="F142" s="77">
        <v>1</v>
      </c>
      <c r="G142" s="78" t="s">
        <v>111</v>
      </c>
      <c r="H142" s="77">
        <f>(0.9*2.1)+(1.2*1.1*2)</f>
        <v>4.53</v>
      </c>
      <c r="I142" s="77">
        <f t="shared" si="27"/>
        <v>31.95</v>
      </c>
      <c r="J142" s="154"/>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row>
    <row r="143" spans="1:48" s="19" customFormat="1" ht="15.75" x14ac:dyDescent="0.25">
      <c r="A143" s="149" t="s">
        <v>15</v>
      </c>
      <c r="B143" s="149"/>
      <c r="C143" s="149"/>
      <c r="D143" s="149"/>
      <c r="E143" s="149"/>
      <c r="F143" s="149"/>
      <c r="G143" s="149"/>
      <c r="H143" s="149"/>
      <c r="I143" s="79">
        <f>ROUND(SUM(I139:I142),2)</f>
        <v>97.08</v>
      </c>
      <c r="J143" s="155"/>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row>
    <row r="144" spans="1:48" s="19" customFormat="1" ht="15.75" x14ac:dyDescent="0.25">
      <c r="A144" s="151"/>
      <c r="B144" s="151"/>
      <c r="C144" s="151"/>
      <c r="D144" s="151"/>
      <c r="E144" s="151"/>
      <c r="F144" s="151"/>
      <c r="G144" s="151"/>
      <c r="H144" s="151"/>
      <c r="I144" s="151"/>
      <c r="J144" s="15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row>
    <row r="145" spans="1:73" s="18" customFormat="1" ht="31.5" x14ac:dyDescent="0.25">
      <c r="A145" s="57"/>
      <c r="B145" s="58" t="s">
        <v>16</v>
      </c>
      <c r="C145" s="150" t="str">
        <f>'PLANILHA ORÇAMENTÁRIA'!C34</f>
        <v>EMBOÇO COM ARGAMASSA, TRAÇO 1:6 (CIMENTO E AREIA), ESP. 20MM, APLICAÇÃO MANUAL, INCLUSIVE ARGAMASSA COM PREPARO MECANIZADO, EXCLUSIVE CHAPISCO</v>
      </c>
      <c r="D145" s="150"/>
      <c r="E145" s="150"/>
      <c r="F145" s="150"/>
      <c r="G145" s="150"/>
      <c r="H145" s="150"/>
      <c r="I145" s="150"/>
      <c r="J145" s="150"/>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row>
    <row r="146" spans="1:73" s="18" customFormat="1" ht="15.75" x14ac:dyDescent="0.25">
      <c r="A146" s="59" t="s">
        <v>17</v>
      </c>
      <c r="B146" s="59" t="s">
        <v>18</v>
      </c>
      <c r="C146" s="150"/>
      <c r="D146" s="150"/>
      <c r="E146" s="150"/>
      <c r="F146" s="150"/>
      <c r="G146" s="150"/>
      <c r="H146" s="150"/>
      <c r="I146" s="150"/>
      <c r="J146" s="150"/>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row>
    <row r="147" spans="1:73" s="18" customFormat="1" ht="15.75" x14ac:dyDescent="0.25">
      <c r="A147" s="139"/>
      <c r="B147" s="139"/>
      <c r="C147" s="108" t="s">
        <v>0</v>
      </c>
      <c r="D147" s="108" t="s">
        <v>49</v>
      </c>
      <c r="E147" s="108"/>
      <c r="F147" s="108" t="s">
        <v>22</v>
      </c>
      <c r="G147" s="108"/>
      <c r="H147" s="109"/>
      <c r="I147" s="108" t="s">
        <v>23</v>
      </c>
      <c r="J147" s="106" t="s">
        <v>24</v>
      </c>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row>
    <row r="148" spans="1:73" s="19" customFormat="1" ht="15.75" x14ac:dyDescent="0.25">
      <c r="A148" s="141" t="s">
        <v>112</v>
      </c>
      <c r="B148" s="141"/>
      <c r="C148" s="77"/>
      <c r="D148" s="77">
        <f>ROUND(SUM(I139:I142),2)</f>
        <v>97.08</v>
      </c>
      <c r="E148" s="77"/>
      <c r="F148" s="77">
        <v>1</v>
      </c>
      <c r="G148" s="77"/>
      <c r="H148" s="77"/>
      <c r="I148" s="68">
        <f>ROUND(SUM(D148*F148),2)</f>
        <v>97.08</v>
      </c>
      <c r="J148" s="153"/>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row>
    <row r="149" spans="1:73" s="22" customFormat="1" ht="15.75" x14ac:dyDescent="0.2">
      <c r="A149" s="149" t="s">
        <v>15</v>
      </c>
      <c r="B149" s="149"/>
      <c r="C149" s="149"/>
      <c r="D149" s="149"/>
      <c r="E149" s="149"/>
      <c r="F149" s="149"/>
      <c r="G149" s="149"/>
      <c r="H149" s="149"/>
      <c r="I149" s="79">
        <f>ROUND(SUM(I148:I148),2)</f>
        <v>97.08</v>
      </c>
      <c r="J149" s="155"/>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row>
    <row r="150" spans="1:73" s="22" customFormat="1" ht="15.75" x14ac:dyDescent="0.2">
      <c r="A150" s="151"/>
      <c r="B150" s="151"/>
      <c r="C150" s="151"/>
      <c r="D150" s="151"/>
      <c r="E150" s="151"/>
      <c r="F150" s="151"/>
      <c r="G150" s="151"/>
      <c r="H150" s="151"/>
      <c r="I150" s="151"/>
      <c r="J150" s="15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row>
    <row r="151" spans="1:73" s="19" customFormat="1" ht="15.75" x14ac:dyDescent="0.25">
      <c r="A151" s="110" t="s">
        <v>209</v>
      </c>
      <c r="B151" s="145" t="s">
        <v>113</v>
      </c>
      <c r="C151" s="145"/>
      <c r="D151" s="145"/>
      <c r="E151" s="145"/>
      <c r="F151" s="145"/>
      <c r="G151" s="145"/>
      <c r="H151" s="145"/>
      <c r="I151" s="145"/>
      <c r="J151" s="145"/>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row>
    <row r="152" spans="1:73" s="18" customFormat="1" ht="31.5" x14ac:dyDescent="0.25">
      <c r="A152" s="57"/>
      <c r="B152" s="58" t="s">
        <v>16</v>
      </c>
      <c r="C152" s="138" t="str">
        <f>'PLANILHA ORÇAMENTÁRIA'!C36</f>
        <v>REGULARIZAÇÃO E COMPACTAÇÃO DE TERRENO MANUAL COM SOQUETE, EXCLUSIVE DESMATAMENTO, DESTOCAMENTO, LIMPEZA/ROÇADA DO TERRENO</v>
      </c>
      <c r="D152" s="138"/>
      <c r="E152" s="138"/>
      <c r="F152" s="138"/>
      <c r="G152" s="138"/>
      <c r="H152" s="138"/>
      <c r="I152" s="138"/>
      <c r="J152" s="138"/>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row>
    <row r="153" spans="1:73" s="18" customFormat="1" ht="15.75" x14ac:dyDescent="0.25">
      <c r="A153" s="59" t="s">
        <v>17</v>
      </c>
      <c r="B153" s="59" t="s">
        <v>18</v>
      </c>
      <c r="C153" s="138"/>
      <c r="D153" s="138"/>
      <c r="E153" s="138"/>
      <c r="F153" s="138"/>
      <c r="G153" s="138"/>
      <c r="H153" s="138"/>
      <c r="I153" s="138"/>
      <c r="J153" s="138"/>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row>
    <row r="154" spans="1:73" s="22" customFormat="1" ht="15.75" x14ac:dyDescent="0.2">
      <c r="A154" s="139"/>
      <c r="B154" s="139"/>
      <c r="C154" s="108" t="s">
        <v>0</v>
      </c>
      <c r="D154" s="108" t="s">
        <v>37</v>
      </c>
      <c r="E154" s="108"/>
      <c r="F154" s="108"/>
      <c r="G154" s="108"/>
      <c r="H154" s="108" t="s">
        <v>22</v>
      </c>
      <c r="I154" s="108" t="s">
        <v>23</v>
      </c>
      <c r="J154" s="108" t="s">
        <v>24</v>
      </c>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row>
    <row r="155" spans="1:73" s="20" customFormat="1" ht="15.75" x14ac:dyDescent="0.25">
      <c r="A155" s="141" t="s">
        <v>91</v>
      </c>
      <c r="B155" s="141"/>
      <c r="C155" s="77"/>
      <c r="D155" s="77">
        <f>1.98*2</f>
        <v>3.96</v>
      </c>
      <c r="E155" s="77"/>
      <c r="F155" s="77"/>
      <c r="G155" s="78"/>
      <c r="H155" s="77">
        <v>1</v>
      </c>
      <c r="I155" s="77">
        <f>D155*H155</f>
        <v>3.96</v>
      </c>
      <c r="J155" s="153"/>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row>
    <row r="156" spans="1:73" s="20" customFormat="1" ht="15.75" x14ac:dyDescent="0.25">
      <c r="A156" s="141" t="s">
        <v>92</v>
      </c>
      <c r="B156" s="141"/>
      <c r="C156" s="77"/>
      <c r="D156" s="77">
        <f>2*2</f>
        <v>4</v>
      </c>
      <c r="E156" s="77"/>
      <c r="F156" s="77"/>
      <c r="G156" s="78"/>
      <c r="H156" s="77">
        <v>1</v>
      </c>
      <c r="I156" s="77">
        <f t="shared" ref="I156:I163" si="28">D156*H156</f>
        <v>4</v>
      </c>
      <c r="J156" s="154"/>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row>
    <row r="157" spans="1:73" s="20" customFormat="1" ht="15.75" x14ac:dyDescent="0.25">
      <c r="A157" s="141" t="s">
        <v>93</v>
      </c>
      <c r="B157" s="141"/>
      <c r="C157" s="77"/>
      <c r="D157" s="77">
        <f>2*2</f>
        <v>4</v>
      </c>
      <c r="E157" s="77"/>
      <c r="F157" s="77"/>
      <c r="G157" s="78"/>
      <c r="H157" s="77">
        <v>1</v>
      </c>
      <c r="I157" s="77">
        <f t="shared" si="28"/>
        <v>4</v>
      </c>
      <c r="J157" s="154"/>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row>
    <row r="158" spans="1:73" s="20" customFormat="1" ht="15.75" x14ac:dyDescent="0.25">
      <c r="A158" s="141" t="s">
        <v>94</v>
      </c>
      <c r="B158" s="141"/>
      <c r="C158" s="77"/>
      <c r="D158" s="77">
        <v>8.9600000000000009</v>
      </c>
      <c r="E158" s="77"/>
      <c r="F158" s="77"/>
      <c r="G158" s="78"/>
      <c r="H158" s="77">
        <v>1</v>
      </c>
      <c r="I158" s="77">
        <f t="shared" si="28"/>
        <v>8.9600000000000009</v>
      </c>
      <c r="J158" s="154"/>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row>
    <row r="159" spans="1:73" s="20" customFormat="1" ht="15.75" x14ac:dyDescent="0.25">
      <c r="A159" s="141" t="s">
        <v>95</v>
      </c>
      <c r="B159" s="141"/>
      <c r="C159" s="77"/>
      <c r="D159" s="77">
        <f>2*3.44</f>
        <v>6.88</v>
      </c>
      <c r="E159" s="77"/>
      <c r="F159" s="77"/>
      <c r="G159" s="78"/>
      <c r="H159" s="77">
        <v>1</v>
      </c>
      <c r="I159" s="77">
        <f t="shared" si="28"/>
        <v>6.88</v>
      </c>
      <c r="J159" s="154"/>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row>
    <row r="160" spans="1:73" s="20" customFormat="1" ht="15.75" x14ac:dyDescent="0.25">
      <c r="A160" s="141" t="s">
        <v>140</v>
      </c>
      <c r="B160" s="141"/>
      <c r="C160" s="77"/>
      <c r="D160" s="77">
        <v>53.8</v>
      </c>
      <c r="E160" s="77"/>
      <c r="F160" s="77"/>
      <c r="G160" s="78"/>
      <c r="H160" s="77">
        <v>1</v>
      </c>
      <c r="I160" s="77">
        <f t="shared" si="28"/>
        <v>53.8</v>
      </c>
      <c r="J160" s="154"/>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row>
    <row r="161" spans="1:73" s="20" customFormat="1" ht="15.75" x14ac:dyDescent="0.25">
      <c r="A161" s="141" t="s">
        <v>123</v>
      </c>
      <c r="B161" s="141"/>
      <c r="C161" s="77"/>
      <c r="D161" s="77">
        <v>22.97</v>
      </c>
      <c r="E161" s="77"/>
      <c r="F161" s="77"/>
      <c r="G161" s="78"/>
      <c r="H161" s="77">
        <v>1</v>
      </c>
      <c r="I161" s="77">
        <f t="shared" si="28"/>
        <v>22.97</v>
      </c>
      <c r="J161" s="154"/>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row>
    <row r="162" spans="1:73" s="20" customFormat="1" ht="15.75" x14ac:dyDescent="0.25">
      <c r="A162" s="141" t="s">
        <v>124</v>
      </c>
      <c r="B162" s="141"/>
      <c r="C162" s="77"/>
      <c r="D162" s="77">
        <f>6.9*3.8</f>
        <v>26.22</v>
      </c>
      <c r="E162" s="77"/>
      <c r="F162" s="77"/>
      <c r="G162" s="78"/>
      <c r="H162" s="77">
        <v>1</v>
      </c>
      <c r="I162" s="77">
        <f t="shared" si="28"/>
        <v>26.22</v>
      </c>
      <c r="J162" s="154"/>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row>
    <row r="163" spans="1:73" s="20" customFormat="1" ht="15.75" x14ac:dyDescent="0.25">
      <c r="A163" s="141" t="s">
        <v>142</v>
      </c>
      <c r="B163" s="141"/>
      <c r="C163" s="77" t="s">
        <v>141</v>
      </c>
      <c r="D163" s="77">
        <f>40.26+24.03</f>
        <v>64.289999999999992</v>
      </c>
      <c r="E163" s="77"/>
      <c r="F163" s="77"/>
      <c r="G163" s="78"/>
      <c r="H163" s="77">
        <v>1</v>
      </c>
      <c r="I163" s="77">
        <f t="shared" si="28"/>
        <v>64.289999999999992</v>
      </c>
      <c r="J163" s="154"/>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row>
    <row r="164" spans="1:73" s="19" customFormat="1" ht="15.75" x14ac:dyDescent="0.25">
      <c r="A164" s="142" t="s">
        <v>15</v>
      </c>
      <c r="B164" s="142"/>
      <c r="C164" s="142"/>
      <c r="D164" s="142"/>
      <c r="E164" s="142"/>
      <c r="F164" s="142"/>
      <c r="G164" s="142"/>
      <c r="H164" s="142"/>
      <c r="I164" s="80">
        <f>ROUND(SUM(I155:I163),2)</f>
        <v>195.08</v>
      </c>
      <c r="J164" s="155"/>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row>
    <row r="165" spans="1:73" s="19" customFormat="1" ht="15.75" x14ac:dyDescent="0.25">
      <c r="A165" s="139"/>
      <c r="B165" s="139"/>
      <c r="C165" s="139"/>
      <c r="D165" s="139"/>
      <c r="E165" s="139"/>
      <c r="F165" s="139"/>
      <c r="G165" s="139"/>
      <c r="H165" s="139"/>
      <c r="I165" s="139"/>
      <c r="J165" s="139"/>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row>
    <row r="166" spans="1:73" s="18" customFormat="1" ht="31.5" x14ac:dyDescent="0.25">
      <c r="A166" s="57"/>
      <c r="B166" s="58" t="s">
        <v>16</v>
      </c>
      <c r="C166" s="138" t="str">
        <f>'PLANILHA ORÇAMENTÁRIA'!C37</f>
        <v>LASTRO DE CONCRETO MAGRO, INCLUSIVE TRANSPORTE, LANÇAMENTO E ADENSAMENTO</v>
      </c>
      <c r="D166" s="138"/>
      <c r="E166" s="138"/>
      <c r="F166" s="138"/>
      <c r="G166" s="138"/>
      <c r="H166" s="138"/>
      <c r="I166" s="138"/>
      <c r="J166" s="138"/>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row>
    <row r="167" spans="1:73" s="18" customFormat="1" ht="15.75" x14ac:dyDescent="0.25">
      <c r="A167" s="59" t="s">
        <v>17</v>
      </c>
      <c r="B167" s="59" t="s">
        <v>18</v>
      </c>
      <c r="C167" s="138"/>
      <c r="D167" s="138"/>
      <c r="E167" s="138"/>
      <c r="F167" s="138"/>
      <c r="G167" s="138"/>
      <c r="H167" s="138"/>
      <c r="I167" s="138"/>
      <c r="J167" s="138"/>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row>
    <row r="168" spans="1:73" s="22" customFormat="1" ht="15.75" x14ac:dyDescent="0.2">
      <c r="A168" s="139"/>
      <c r="B168" s="139"/>
      <c r="C168" s="108" t="s">
        <v>0</v>
      </c>
      <c r="D168" s="108" t="s">
        <v>37</v>
      </c>
      <c r="E168" s="108" t="s">
        <v>31</v>
      </c>
      <c r="F168" s="108" t="s">
        <v>22</v>
      </c>
      <c r="G168" s="108"/>
      <c r="H168" s="109"/>
      <c r="I168" s="108" t="s">
        <v>30</v>
      </c>
      <c r="J168" s="108" t="s">
        <v>24</v>
      </c>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row>
    <row r="169" spans="1:73" s="20" customFormat="1" ht="15.75" x14ac:dyDescent="0.25">
      <c r="A169" s="141" t="str">
        <f>A155</f>
        <v>PNE FEM.</v>
      </c>
      <c r="B169" s="141"/>
      <c r="C169" s="77"/>
      <c r="D169" s="77">
        <f>1.98*2</f>
        <v>3.96</v>
      </c>
      <c r="E169" s="68">
        <v>0.03</v>
      </c>
      <c r="F169" s="77">
        <v>1</v>
      </c>
      <c r="G169" s="78"/>
      <c r="H169" s="77"/>
      <c r="I169" s="68">
        <f>ROUND(SUM(D169*E169*F169),2)</f>
        <v>0.12</v>
      </c>
      <c r="J169" s="153"/>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row>
    <row r="170" spans="1:73" s="20" customFormat="1" ht="15.75" x14ac:dyDescent="0.25">
      <c r="A170" s="141" t="str">
        <f t="shared" ref="A170:A176" si="29">A156</f>
        <v>PENE MASC.</v>
      </c>
      <c r="B170" s="141"/>
      <c r="C170" s="77"/>
      <c r="D170" s="77">
        <f>2*2</f>
        <v>4</v>
      </c>
      <c r="E170" s="77">
        <v>0.03</v>
      </c>
      <c r="F170" s="77">
        <v>1</v>
      </c>
      <c r="G170" s="78"/>
      <c r="H170" s="77"/>
      <c r="I170" s="68">
        <f t="shared" ref="I170:I176" si="30">ROUND(SUM(D170*E170*F170),2)</f>
        <v>0.12</v>
      </c>
      <c r="J170" s="154"/>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row>
    <row r="171" spans="1:73" s="20" customFormat="1" ht="15.75" x14ac:dyDescent="0.25">
      <c r="A171" s="141" t="str">
        <f t="shared" si="29"/>
        <v>W.C FUNC.</v>
      </c>
      <c r="B171" s="141"/>
      <c r="C171" s="77"/>
      <c r="D171" s="77">
        <f>2*2</f>
        <v>4</v>
      </c>
      <c r="E171" s="68">
        <v>0.03</v>
      </c>
      <c r="F171" s="77">
        <v>1</v>
      </c>
      <c r="G171" s="78"/>
      <c r="H171" s="77"/>
      <c r="I171" s="68">
        <f t="shared" si="30"/>
        <v>0.12</v>
      </c>
      <c r="J171" s="154"/>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row>
    <row r="172" spans="1:73" s="20" customFormat="1" ht="15.75" x14ac:dyDescent="0.25">
      <c r="A172" s="141" t="str">
        <f t="shared" si="29"/>
        <v>COZINHA</v>
      </c>
      <c r="B172" s="141"/>
      <c r="C172" s="77"/>
      <c r="D172" s="77">
        <v>8.9600000000000009</v>
      </c>
      <c r="E172" s="68">
        <v>0.03</v>
      </c>
      <c r="F172" s="77">
        <v>1</v>
      </c>
      <c r="G172" s="78"/>
      <c r="H172" s="77"/>
      <c r="I172" s="68">
        <f t="shared" si="30"/>
        <v>0.27</v>
      </c>
      <c r="J172" s="154"/>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row>
    <row r="173" spans="1:73" s="20" customFormat="1" ht="15.75" x14ac:dyDescent="0.25">
      <c r="A173" s="141" t="str">
        <f t="shared" si="29"/>
        <v xml:space="preserve">DISPENSA </v>
      </c>
      <c r="B173" s="141"/>
      <c r="C173" s="77"/>
      <c r="D173" s="77">
        <f>2*3.44</f>
        <v>6.88</v>
      </c>
      <c r="E173" s="77">
        <v>0.03</v>
      </c>
      <c r="F173" s="77">
        <v>1</v>
      </c>
      <c r="G173" s="78"/>
      <c r="H173" s="77"/>
      <c r="I173" s="68">
        <f t="shared" si="30"/>
        <v>0.21</v>
      </c>
      <c r="J173" s="154"/>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row>
    <row r="174" spans="1:73" s="20" customFormat="1" ht="15.75" x14ac:dyDescent="0.25">
      <c r="A174" s="141" t="str">
        <f t="shared" si="29"/>
        <v>ÁREA 01</v>
      </c>
      <c r="B174" s="141"/>
      <c r="C174" s="77"/>
      <c r="D174" s="77">
        <v>53.8</v>
      </c>
      <c r="E174" s="68">
        <v>0.03</v>
      </c>
      <c r="F174" s="77">
        <v>1</v>
      </c>
      <c r="G174" s="78"/>
      <c r="H174" s="77"/>
      <c r="I174" s="68">
        <f t="shared" si="30"/>
        <v>1.61</v>
      </c>
      <c r="J174" s="154"/>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row>
    <row r="175" spans="1:73" s="20" customFormat="1" ht="15.75" x14ac:dyDescent="0.25">
      <c r="A175" s="141" t="str">
        <f t="shared" si="29"/>
        <v xml:space="preserve">HALL DE ENTRADA </v>
      </c>
      <c r="B175" s="141"/>
      <c r="C175" s="77"/>
      <c r="D175" s="77">
        <v>22.97</v>
      </c>
      <c r="E175" s="68">
        <v>0.03</v>
      </c>
      <c r="F175" s="77">
        <v>1</v>
      </c>
      <c r="G175" s="78"/>
      <c r="H175" s="77"/>
      <c r="I175" s="68">
        <f t="shared" si="30"/>
        <v>0.69</v>
      </c>
      <c r="J175" s="154"/>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row>
    <row r="176" spans="1:73" s="20" customFormat="1" ht="15.75" x14ac:dyDescent="0.25">
      <c r="A176" s="141" t="str">
        <f t="shared" si="29"/>
        <v>ÁREA 02</v>
      </c>
      <c r="B176" s="141"/>
      <c r="C176" s="77"/>
      <c r="D176" s="77">
        <f>6.9*3.8</f>
        <v>26.22</v>
      </c>
      <c r="E176" s="77">
        <v>0.03</v>
      </c>
      <c r="F176" s="77">
        <v>1</v>
      </c>
      <c r="G176" s="78"/>
      <c r="H176" s="77"/>
      <c r="I176" s="68">
        <f t="shared" si="30"/>
        <v>0.79</v>
      </c>
      <c r="J176" s="154"/>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row>
    <row r="177" spans="1:73" s="19" customFormat="1" ht="15.75" x14ac:dyDescent="0.25">
      <c r="A177" s="142" t="s">
        <v>15</v>
      </c>
      <c r="B177" s="142"/>
      <c r="C177" s="142"/>
      <c r="D177" s="142"/>
      <c r="E177" s="142"/>
      <c r="F177" s="142"/>
      <c r="G177" s="142"/>
      <c r="H177" s="142"/>
      <c r="I177" s="80">
        <f>SUM(I169:I176)</f>
        <v>3.93</v>
      </c>
      <c r="J177" s="155"/>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row>
    <row r="178" spans="1:73" s="19" customFormat="1" ht="15.75" x14ac:dyDescent="0.25">
      <c r="A178" s="139"/>
      <c r="B178" s="139"/>
      <c r="C178" s="139"/>
      <c r="D178" s="139"/>
      <c r="E178" s="139"/>
      <c r="F178" s="139"/>
      <c r="G178" s="139"/>
      <c r="H178" s="139"/>
      <c r="I178" s="139"/>
      <c r="J178" s="139"/>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row>
    <row r="179" spans="1:73" s="18" customFormat="1" ht="31.5" x14ac:dyDescent="0.25">
      <c r="A179" s="57"/>
      <c r="B179" s="58" t="s">
        <v>16</v>
      </c>
      <c r="C179" s="138" t="str">
        <f>'PLANILHA ORÇAMENTÁRIA'!C38</f>
        <v>CONTRAPISO DESEMPENADO COM ARGAMASSA, TRAÇO 1:3 (CIMENTO E AREIA), ESP. 20MM, INCLUSIVE ARGAMASSA COM PREPARO MECANIZADO</v>
      </c>
      <c r="D179" s="138"/>
      <c r="E179" s="138"/>
      <c r="F179" s="138"/>
      <c r="G179" s="138"/>
      <c r="H179" s="138"/>
      <c r="I179" s="138"/>
      <c r="J179" s="138"/>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row>
    <row r="180" spans="1:73" s="18" customFormat="1" ht="15.75" x14ac:dyDescent="0.25">
      <c r="A180" s="59" t="s">
        <v>17</v>
      </c>
      <c r="B180" s="59" t="s">
        <v>18</v>
      </c>
      <c r="C180" s="138"/>
      <c r="D180" s="138"/>
      <c r="E180" s="138"/>
      <c r="F180" s="138"/>
      <c r="G180" s="138"/>
      <c r="H180" s="138"/>
      <c r="I180" s="138"/>
      <c r="J180" s="138"/>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row>
    <row r="181" spans="1:73" s="22" customFormat="1" ht="15.75" x14ac:dyDescent="0.2">
      <c r="A181" s="139"/>
      <c r="B181" s="139"/>
      <c r="C181" s="108" t="s">
        <v>0</v>
      </c>
      <c r="D181" s="108" t="s">
        <v>37</v>
      </c>
      <c r="E181" s="108"/>
      <c r="F181" s="108"/>
      <c r="G181" s="108"/>
      <c r="H181" s="108" t="s">
        <v>22</v>
      </c>
      <c r="I181" s="108" t="s">
        <v>23</v>
      </c>
      <c r="J181" s="108" t="s">
        <v>24</v>
      </c>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row>
    <row r="182" spans="1:73" s="20" customFormat="1" ht="15.75" x14ac:dyDescent="0.25">
      <c r="A182" s="141" t="str">
        <f>A169</f>
        <v>PNE FEM.</v>
      </c>
      <c r="B182" s="141"/>
      <c r="C182" s="77"/>
      <c r="D182" s="77">
        <f>D169</f>
        <v>3.96</v>
      </c>
      <c r="E182" s="77"/>
      <c r="F182" s="77"/>
      <c r="G182" s="78"/>
      <c r="H182" s="77">
        <v>1</v>
      </c>
      <c r="I182" s="77">
        <f>D182*H182</f>
        <v>3.96</v>
      </c>
      <c r="J182" s="153"/>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row>
    <row r="183" spans="1:73" s="20" customFormat="1" ht="15.75" x14ac:dyDescent="0.25">
      <c r="A183" s="141" t="str">
        <f t="shared" ref="A183:A189" si="31">A170</f>
        <v>PENE MASC.</v>
      </c>
      <c r="B183" s="141"/>
      <c r="C183" s="77"/>
      <c r="D183" s="77">
        <f t="shared" ref="D183:D189" si="32">D170</f>
        <v>4</v>
      </c>
      <c r="E183" s="77"/>
      <c r="F183" s="77"/>
      <c r="G183" s="78"/>
      <c r="H183" s="77">
        <v>1</v>
      </c>
      <c r="I183" s="77">
        <f t="shared" ref="I183:I189" si="33">D183*H183</f>
        <v>4</v>
      </c>
      <c r="J183" s="154"/>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row>
    <row r="184" spans="1:73" s="20" customFormat="1" ht="15.75" x14ac:dyDescent="0.25">
      <c r="A184" s="141" t="str">
        <f t="shared" si="31"/>
        <v>W.C FUNC.</v>
      </c>
      <c r="B184" s="141"/>
      <c r="C184" s="77"/>
      <c r="D184" s="77">
        <f t="shared" si="32"/>
        <v>4</v>
      </c>
      <c r="E184" s="77"/>
      <c r="F184" s="77"/>
      <c r="G184" s="78"/>
      <c r="H184" s="77">
        <v>1</v>
      </c>
      <c r="I184" s="77">
        <f t="shared" si="33"/>
        <v>4</v>
      </c>
      <c r="J184" s="154"/>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row>
    <row r="185" spans="1:73" s="20" customFormat="1" ht="15.75" x14ac:dyDescent="0.25">
      <c r="A185" s="141" t="str">
        <f t="shared" si="31"/>
        <v>COZINHA</v>
      </c>
      <c r="B185" s="141"/>
      <c r="C185" s="77"/>
      <c r="D185" s="77">
        <f t="shared" si="32"/>
        <v>8.9600000000000009</v>
      </c>
      <c r="E185" s="77"/>
      <c r="F185" s="77"/>
      <c r="G185" s="78"/>
      <c r="H185" s="77">
        <v>1</v>
      </c>
      <c r="I185" s="77">
        <f t="shared" si="33"/>
        <v>8.9600000000000009</v>
      </c>
      <c r="J185" s="154"/>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row>
    <row r="186" spans="1:73" s="20" customFormat="1" ht="15.75" x14ac:dyDescent="0.25">
      <c r="A186" s="141" t="str">
        <f t="shared" si="31"/>
        <v xml:space="preserve">DISPENSA </v>
      </c>
      <c r="B186" s="141"/>
      <c r="C186" s="77"/>
      <c r="D186" s="77">
        <f t="shared" si="32"/>
        <v>6.88</v>
      </c>
      <c r="E186" s="77"/>
      <c r="F186" s="77"/>
      <c r="G186" s="78"/>
      <c r="H186" s="77">
        <v>1</v>
      </c>
      <c r="I186" s="77">
        <f t="shared" si="33"/>
        <v>6.88</v>
      </c>
      <c r="J186" s="154"/>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row>
    <row r="187" spans="1:73" s="20" customFormat="1" ht="15.75" x14ac:dyDescent="0.25">
      <c r="A187" s="141" t="str">
        <f t="shared" si="31"/>
        <v>ÁREA 01</v>
      </c>
      <c r="B187" s="141"/>
      <c r="C187" s="77"/>
      <c r="D187" s="77">
        <f t="shared" si="32"/>
        <v>53.8</v>
      </c>
      <c r="E187" s="77"/>
      <c r="F187" s="77"/>
      <c r="G187" s="78"/>
      <c r="H187" s="77">
        <v>1</v>
      </c>
      <c r="I187" s="77">
        <f t="shared" si="33"/>
        <v>53.8</v>
      </c>
      <c r="J187" s="154"/>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row>
    <row r="188" spans="1:73" s="20" customFormat="1" ht="15.75" x14ac:dyDescent="0.25">
      <c r="A188" s="141" t="str">
        <f t="shared" si="31"/>
        <v xml:space="preserve">HALL DE ENTRADA </v>
      </c>
      <c r="B188" s="141"/>
      <c r="C188" s="77"/>
      <c r="D188" s="77">
        <f t="shared" si="32"/>
        <v>22.97</v>
      </c>
      <c r="E188" s="77"/>
      <c r="F188" s="77"/>
      <c r="G188" s="78"/>
      <c r="H188" s="77">
        <v>1</v>
      </c>
      <c r="I188" s="77">
        <f t="shared" si="33"/>
        <v>22.97</v>
      </c>
      <c r="J188" s="154"/>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row>
    <row r="189" spans="1:73" s="20" customFormat="1" ht="15.75" x14ac:dyDescent="0.25">
      <c r="A189" s="141" t="str">
        <f t="shared" si="31"/>
        <v>ÁREA 02</v>
      </c>
      <c r="B189" s="141"/>
      <c r="C189" s="77"/>
      <c r="D189" s="77">
        <f t="shared" si="32"/>
        <v>26.22</v>
      </c>
      <c r="E189" s="77"/>
      <c r="F189" s="77"/>
      <c r="G189" s="78"/>
      <c r="H189" s="77">
        <v>1</v>
      </c>
      <c r="I189" s="77">
        <f t="shared" si="33"/>
        <v>26.22</v>
      </c>
      <c r="J189" s="154"/>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row>
    <row r="190" spans="1:73" s="19" customFormat="1" ht="15.75" x14ac:dyDescent="0.25">
      <c r="A190" s="142" t="s">
        <v>15</v>
      </c>
      <c r="B190" s="142"/>
      <c r="C190" s="142"/>
      <c r="D190" s="142"/>
      <c r="E190" s="142"/>
      <c r="F190" s="142"/>
      <c r="G190" s="142"/>
      <c r="H190" s="142"/>
      <c r="I190" s="80">
        <f>ROUND(SUM(I182:I189),2)</f>
        <v>130.79</v>
      </c>
      <c r="J190" s="155"/>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row>
    <row r="191" spans="1:73" s="19" customFormat="1" ht="15.75" x14ac:dyDescent="0.25">
      <c r="A191" s="139"/>
      <c r="B191" s="139"/>
      <c r="C191" s="139"/>
      <c r="D191" s="139"/>
      <c r="E191" s="139"/>
      <c r="F191" s="139"/>
      <c r="G191" s="139"/>
      <c r="H191" s="139"/>
      <c r="I191" s="139"/>
      <c r="J191" s="139"/>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row>
    <row r="192" spans="1:73" s="18" customFormat="1" ht="31.5" x14ac:dyDescent="0.25">
      <c r="A192" s="57"/>
      <c r="B192" s="58" t="s">
        <v>16</v>
      </c>
      <c r="C192" s="138" t="str">
        <f>'PLANILHA ORÇAMENTÁRIA'!C39</f>
        <v>PISO CIMENTADO NATADO COM ARGAMASSA, ACABAMENTO QUEIMADO, TRAÇO 1:3 (CIMENTO E AREIA), ESP. 25MM, SEM JUNTA DE DILATAÇÃO</v>
      </c>
      <c r="D192" s="138"/>
      <c r="E192" s="138"/>
      <c r="F192" s="138"/>
      <c r="G192" s="138"/>
      <c r="H192" s="138"/>
      <c r="I192" s="138"/>
      <c r="J192" s="138"/>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row>
    <row r="193" spans="1:73" s="18" customFormat="1" ht="15.75" x14ac:dyDescent="0.25">
      <c r="A193" s="59" t="s">
        <v>17</v>
      </c>
      <c r="B193" s="59" t="s">
        <v>18</v>
      </c>
      <c r="C193" s="138"/>
      <c r="D193" s="138"/>
      <c r="E193" s="138"/>
      <c r="F193" s="138"/>
      <c r="G193" s="138"/>
      <c r="H193" s="138"/>
      <c r="I193" s="138"/>
      <c r="J193" s="138"/>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row>
    <row r="194" spans="1:73" s="22" customFormat="1" ht="15.75" x14ac:dyDescent="0.2">
      <c r="A194" s="139"/>
      <c r="B194" s="139"/>
      <c r="C194" s="108" t="s">
        <v>0</v>
      </c>
      <c r="D194" s="108" t="s">
        <v>37</v>
      </c>
      <c r="E194" s="108"/>
      <c r="F194" s="108"/>
      <c r="G194" s="108"/>
      <c r="H194" s="108" t="s">
        <v>22</v>
      </c>
      <c r="I194" s="108" t="s">
        <v>23</v>
      </c>
      <c r="J194" s="108" t="s">
        <v>24</v>
      </c>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row>
    <row r="195" spans="1:73" s="20" customFormat="1" ht="15.75" x14ac:dyDescent="0.25">
      <c r="A195" s="141" t="str">
        <f>A182</f>
        <v>PNE FEM.</v>
      </c>
      <c r="B195" s="141"/>
      <c r="C195" s="77"/>
      <c r="D195" s="77">
        <f>D182</f>
        <v>3.96</v>
      </c>
      <c r="E195" s="77"/>
      <c r="F195" s="77"/>
      <c r="G195" s="78"/>
      <c r="H195" s="77">
        <v>1</v>
      </c>
      <c r="I195" s="77">
        <f>D195*H195</f>
        <v>3.96</v>
      </c>
      <c r="J195" s="153"/>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row>
    <row r="196" spans="1:73" s="20" customFormat="1" ht="15.75" x14ac:dyDescent="0.25">
      <c r="A196" s="141" t="str">
        <f t="shared" ref="A196:A202" si="34">A183</f>
        <v>PENE MASC.</v>
      </c>
      <c r="B196" s="141"/>
      <c r="C196" s="77"/>
      <c r="D196" s="77">
        <f t="shared" ref="D196:D202" si="35">D183</f>
        <v>4</v>
      </c>
      <c r="E196" s="77"/>
      <c r="F196" s="77"/>
      <c r="G196" s="78"/>
      <c r="H196" s="77">
        <v>1</v>
      </c>
      <c r="I196" s="77">
        <f t="shared" ref="I196:I202" si="36">D196*H196</f>
        <v>4</v>
      </c>
      <c r="J196" s="154"/>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row>
    <row r="197" spans="1:73" s="20" customFormat="1" ht="15.75" x14ac:dyDescent="0.25">
      <c r="A197" s="141" t="str">
        <f t="shared" si="34"/>
        <v>W.C FUNC.</v>
      </c>
      <c r="B197" s="141"/>
      <c r="C197" s="77"/>
      <c r="D197" s="77">
        <f t="shared" si="35"/>
        <v>4</v>
      </c>
      <c r="E197" s="77"/>
      <c r="F197" s="77"/>
      <c r="G197" s="78"/>
      <c r="H197" s="77">
        <v>1</v>
      </c>
      <c r="I197" s="77">
        <f t="shared" si="36"/>
        <v>4</v>
      </c>
      <c r="J197" s="154"/>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row>
    <row r="198" spans="1:73" s="20" customFormat="1" ht="15.75" x14ac:dyDescent="0.25">
      <c r="A198" s="141" t="str">
        <f t="shared" si="34"/>
        <v>COZINHA</v>
      </c>
      <c r="B198" s="141"/>
      <c r="C198" s="77"/>
      <c r="D198" s="77">
        <f t="shared" si="35"/>
        <v>8.9600000000000009</v>
      </c>
      <c r="E198" s="77"/>
      <c r="F198" s="77"/>
      <c r="G198" s="78"/>
      <c r="H198" s="77">
        <v>1</v>
      </c>
      <c r="I198" s="77">
        <f t="shared" si="36"/>
        <v>8.9600000000000009</v>
      </c>
      <c r="J198" s="154"/>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row>
    <row r="199" spans="1:73" s="20" customFormat="1" ht="15.75" x14ac:dyDescent="0.25">
      <c r="A199" s="141" t="str">
        <f t="shared" si="34"/>
        <v xml:space="preserve">DISPENSA </v>
      </c>
      <c r="B199" s="141"/>
      <c r="C199" s="77"/>
      <c r="D199" s="77">
        <f t="shared" si="35"/>
        <v>6.88</v>
      </c>
      <c r="E199" s="77"/>
      <c r="F199" s="77"/>
      <c r="G199" s="78"/>
      <c r="H199" s="77">
        <v>1</v>
      </c>
      <c r="I199" s="77">
        <f t="shared" si="36"/>
        <v>6.88</v>
      </c>
      <c r="J199" s="154"/>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row>
    <row r="200" spans="1:73" s="20" customFormat="1" ht="15.75" x14ac:dyDescent="0.25">
      <c r="A200" s="141" t="str">
        <f t="shared" si="34"/>
        <v>ÁREA 01</v>
      </c>
      <c r="B200" s="141"/>
      <c r="C200" s="77"/>
      <c r="D200" s="77">
        <f t="shared" si="35"/>
        <v>53.8</v>
      </c>
      <c r="E200" s="77"/>
      <c r="F200" s="77"/>
      <c r="G200" s="78"/>
      <c r="H200" s="77">
        <v>1</v>
      </c>
      <c r="I200" s="77">
        <f t="shared" si="36"/>
        <v>53.8</v>
      </c>
      <c r="J200" s="154"/>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row>
    <row r="201" spans="1:73" s="20" customFormat="1" ht="15.75" x14ac:dyDescent="0.25">
      <c r="A201" s="141" t="str">
        <f t="shared" si="34"/>
        <v xml:space="preserve">HALL DE ENTRADA </v>
      </c>
      <c r="B201" s="141"/>
      <c r="C201" s="77"/>
      <c r="D201" s="77">
        <f t="shared" si="35"/>
        <v>22.97</v>
      </c>
      <c r="E201" s="77"/>
      <c r="F201" s="77"/>
      <c r="G201" s="78"/>
      <c r="H201" s="77">
        <v>1</v>
      </c>
      <c r="I201" s="77">
        <f t="shared" si="36"/>
        <v>22.97</v>
      </c>
      <c r="J201" s="154"/>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row>
    <row r="202" spans="1:73" s="20" customFormat="1" ht="15.75" x14ac:dyDescent="0.25">
      <c r="A202" s="141" t="str">
        <f t="shared" si="34"/>
        <v>ÁREA 02</v>
      </c>
      <c r="B202" s="141"/>
      <c r="C202" s="77"/>
      <c r="D202" s="77">
        <f t="shared" si="35"/>
        <v>26.22</v>
      </c>
      <c r="E202" s="77"/>
      <c r="F202" s="77"/>
      <c r="G202" s="78"/>
      <c r="H202" s="77">
        <v>1</v>
      </c>
      <c r="I202" s="77">
        <f t="shared" si="36"/>
        <v>26.22</v>
      </c>
      <c r="J202" s="154"/>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row>
    <row r="203" spans="1:73" s="19" customFormat="1" ht="15.75" x14ac:dyDescent="0.25">
      <c r="A203" s="142" t="s">
        <v>15</v>
      </c>
      <c r="B203" s="142"/>
      <c r="C203" s="142"/>
      <c r="D203" s="142"/>
      <c r="E203" s="142"/>
      <c r="F203" s="142"/>
      <c r="G203" s="142"/>
      <c r="H203" s="142"/>
      <c r="I203" s="80">
        <f>ROUND(SUM(I195:I202),2)</f>
        <v>130.79</v>
      </c>
      <c r="J203" s="155"/>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row>
    <row r="204" spans="1:73" s="19" customFormat="1" ht="15.75" x14ac:dyDescent="0.25">
      <c r="A204" s="139"/>
      <c r="B204" s="139"/>
      <c r="C204" s="139"/>
      <c r="D204" s="139"/>
      <c r="E204" s="139"/>
      <c r="F204" s="139"/>
      <c r="G204" s="139"/>
      <c r="H204" s="139"/>
      <c r="I204" s="139"/>
      <c r="J204" s="139"/>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row>
    <row r="205" spans="1:73" s="18" customFormat="1" ht="31.5" x14ac:dyDescent="0.25">
      <c r="A205" s="57"/>
      <c r="B205" s="58" t="s">
        <v>16</v>
      </c>
      <c r="C205" s="138" t="str">
        <f>'PLANILHA ORÇAMENTÁRIA'!C40</f>
        <v>PASSEIOS DE CONCRETO E = 6 CM, FCK = 10 MPA, JUNTA SECA</v>
      </c>
      <c r="D205" s="138"/>
      <c r="E205" s="138"/>
      <c r="F205" s="138"/>
      <c r="G205" s="138"/>
      <c r="H205" s="138"/>
      <c r="I205" s="138"/>
      <c r="J205" s="138"/>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row>
    <row r="206" spans="1:73" s="18" customFormat="1" ht="15.75" x14ac:dyDescent="0.25">
      <c r="A206" s="59" t="s">
        <v>17</v>
      </c>
      <c r="B206" s="59" t="s">
        <v>18</v>
      </c>
      <c r="C206" s="138"/>
      <c r="D206" s="138"/>
      <c r="E206" s="138"/>
      <c r="F206" s="138"/>
      <c r="G206" s="138"/>
      <c r="H206" s="138"/>
      <c r="I206" s="138"/>
      <c r="J206" s="138"/>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row>
    <row r="207" spans="1:73" s="22" customFormat="1" ht="15.75" x14ac:dyDescent="0.2">
      <c r="A207" s="139"/>
      <c r="B207" s="139"/>
      <c r="C207" s="108" t="s">
        <v>0</v>
      </c>
      <c r="D207" s="108" t="s">
        <v>37</v>
      </c>
      <c r="E207" s="108"/>
      <c r="F207" s="108"/>
      <c r="G207" s="108"/>
      <c r="H207" s="109"/>
      <c r="I207" s="108" t="s">
        <v>23</v>
      </c>
      <c r="J207" s="108" t="s">
        <v>24</v>
      </c>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row>
    <row r="208" spans="1:73" s="20" customFormat="1" ht="15.75" x14ac:dyDescent="0.25">
      <c r="A208" s="141" t="str">
        <f>A163</f>
        <v xml:space="preserve">PISO ENTRONO EDIFICAÇÃO ENTORNO </v>
      </c>
      <c r="B208" s="141"/>
      <c r="C208" s="77"/>
      <c r="D208" s="77">
        <f>D163</f>
        <v>64.289999999999992</v>
      </c>
      <c r="E208" s="77"/>
      <c r="F208" s="77"/>
      <c r="G208" s="78"/>
      <c r="H208" s="77"/>
      <c r="I208" s="77">
        <f>D208</f>
        <v>64.289999999999992</v>
      </c>
      <c r="J208" s="153"/>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row>
    <row r="209" spans="1:73" s="20" customFormat="1" ht="15.75" x14ac:dyDescent="0.25">
      <c r="A209" s="141" t="s">
        <v>211</v>
      </c>
      <c r="B209" s="141"/>
      <c r="C209" s="77"/>
      <c r="D209" s="77">
        <f>3.1*3</f>
        <v>9.3000000000000007</v>
      </c>
      <c r="E209" s="77"/>
      <c r="F209" s="77"/>
      <c r="G209" s="78"/>
      <c r="H209" s="77"/>
      <c r="I209" s="77">
        <f t="shared" ref="I209:I211" si="37">D209</f>
        <v>9.3000000000000007</v>
      </c>
      <c r="J209" s="154"/>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row>
    <row r="210" spans="1:73" s="20" customFormat="1" ht="15.75" x14ac:dyDescent="0.25">
      <c r="A210" s="141" t="s">
        <v>212</v>
      </c>
      <c r="B210" s="141"/>
      <c r="C210" s="77"/>
      <c r="D210" s="77">
        <f>3*0.5</f>
        <v>1.5</v>
      </c>
      <c r="E210" s="77"/>
      <c r="F210" s="77"/>
      <c r="G210" s="78"/>
      <c r="H210" s="77"/>
      <c r="I210" s="77">
        <f t="shared" si="37"/>
        <v>1.5</v>
      </c>
      <c r="J210" s="154"/>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row>
    <row r="211" spans="1:73" s="20" customFormat="1" ht="15.75" x14ac:dyDescent="0.25">
      <c r="A211" s="141" t="s">
        <v>213</v>
      </c>
      <c r="B211" s="141"/>
      <c r="C211" s="77"/>
      <c r="D211" s="77">
        <f>2.51*2.6</f>
        <v>6.5259999999999998</v>
      </c>
      <c r="E211" s="77"/>
      <c r="F211" s="77"/>
      <c r="G211" s="78"/>
      <c r="H211" s="77"/>
      <c r="I211" s="77">
        <f t="shared" si="37"/>
        <v>6.5259999999999998</v>
      </c>
      <c r="J211" s="154"/>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row>
    <row r="212" spans="1:73" s="19" customFormat="1" ht="15.75" x14ac:dyDescent="0.25">
      <c r="A212" s="142" t="s">
        <v>15</v>
      </c>
      <c r="B212" s="142"/>
      <c r="C212" s="142"/>
      <c r="D212" s="142"/>
      <c r="E212" s="142"/>
      <c r="F212" s="142"/>
      <c r="G212" s="142"/>
      <c r="H212" s="142"/>
      <c r="I212" s="80">
        <f>ROUND(SUM(I208:I211),2)</f>
        <v>81.62</v>
      </c>
      <c r="J212" s="155"/>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row>
    <row r="213" spans="1:73" s="19" customFormat="1" ht="15.75" x14ac:dyDescent="0.25">
      <c r="A213" s="139"/>
      <c r="B213" s="139"/>
      <c r="C213" s="139"/>
      <c r="D213" s="139"/>
      <c r="E213" s="139"/>
      <c r="F213" s="139"/>
      <c r="G213" s="139"/>
      <c r="H213" s="139"/>
      <c r="I213" s="139"/>
      <c r="J213" s="139"/>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row>
    <row r="214" spans="1:73" s="18" customFormat="1" ht="31.5" x14ac:dyDescent="0.25">
      <c r="A214" s="57"/>
      <c r="B214" s="58" t="s">
        <v>16</v>
      </c>
      <c r="C214" s="138" t="str">
        <f>'PLANILHA ORÇAMENTÁRIA'!C41</f>
        <v>REVESTIMENTO COM CERÂMICA APLICADO EM PAREDE, ACABAMENTO ESMALTADO, AMBIENTE INTERNO/EXTERNO, PADRÃO EXTRA, DIMENSÃO DA PEÇA ATÉ 2025 CM2, PEI III, ASSENTAMENTO COM ARGAMASSA INDUSTRIALIZADA, INCLUSIVE REJUNTAMENTO</v>
      </c>
      <c r="D214" s="138"/>
      <c r="E214" s="138"/>
      <c r="F214" s="138"/>
      <c r="G214" s="138"/>
      <c r="H214" s="138"/>
      <c r="I214" s="138"/>
      <c r="J214" s="138"/>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row>
    <row r="215" spans="1:73" s="18" customFormat="1" ht="15.75" x14ac:dyDescent="0.25">
      <c r="A215" s="59" t="s">
        <v>17</v>
      </c>
      <c r="B215" s="59" t="s">
        <v>18</v>
      </c>
      <c r="C215" s="138"/>
      <c r="D215" s="138"/>
      <c r="E215" s="138"/>
      <c r="F215" s="138"/>
      <c r="G215" s="138"/>
      <c r="H215" s="138"/>
      <c r="I215" s="138"/>
      <c r="J215" s="138"/>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row>
    <row r="216" spans="1:73" s="18" customFormat="1" ht="31.5" x14ac:dyDescent="0.25">
      <c r="A216" s="139"/>
      <c r="B216" s="139"/>
      <c r="C216" s="108" t="s">
        <v>0</v>
      </c>
      <c r="D216" s="108" t="s">
        <v>41</v>
      </c>
      <c r="E216" s="108" t="s">
        <v>42</v>
      </c>
      <c r="F216" s="108" t="s">
        <v>22</v>
      </c>
      <c r="G216" s="108" t="s">
        <v>125</v>
      </c>
      <c r="H216" s="108" t="s">
        <v>46</v>
      </c>
      <c r="I216" s="108" t="s">
        <v>23</v>
      </c>
      <c r="J216" s="108" t="s">
        <v>24</v>
      </c>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row>
    <row r="217" spans="1:73" s="20" customFormat="1" ht="15.75" x14ac:dyDescent="0.25">
      <c r="A217" s="141" t="s">
        <v>91</v>
      </c>
      <c r="B217" s="141"/>
      <c r="C217" s="77" t="s">
        <v>107</v>
      </c>
      <c r="D217" s="77">
        <f>1.98+2+1.98+2</f>
        <v>7.96</v>
      </c>
      <c r="E217" s="77">
        <v>3</v>
      </c>
      <c r="F217" s="77">
        <v>1</v>
      </c>
      <c r="G217" s="78" t="s">
        <v>109</v>
      </c>
      <c r="H217" s="77">
        <f>(0.6*0.6)+(0.9*2.1)</f>
        <v>2.25</v>
      </c>
      <c r="I217" s="77">
        <f>ROUND(SUM((D217*E217*F217)-H217),2)</f>
        <v>21.63</v>
      </c>
      <c r="J217" s="153"/>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row>
    <row r="218" spans="1:73" s="20" customFormat="1" ht="15.75" x14ac:dyDescent="0.25">
      <c r="A218" s="141" t="s">
        <v>92</v>
      </c>
      <c r="B218" s="141"/>
      <c r="C218" s="77" t="s">
        <v>108</v>
      </c>
      <c r="D218" s="77">
        <f>2*4</f>
        <v>8</v>
      </c>
      <c r="E218" s="77">
        <v>3</v>
      </c>
      <c r="F218" s="77">
        <v>1</v>
      </c>
      <c r="G218" s="78" t="s">
        <v>109</v>
      </c>
      <c r="H218" s="77">
        <f t="shared" ref="H218:H219" si="38">(0.6*0.6)+(0.9*2.1)</f>
        <v>2.25</v>
      </c>
      <c r="I218" s="77">
        <f t="shared" ref="I218:I221" si="39">ROUND(SUM((D218*E218*F218)-H218),2)</f>
        <v>21.75</v>
      </c>
      <c r="J218" s="154"/>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row>
    <row r="219" spans="1:73" s="20" customFormat="1" ht="15.75" x14ac:dyDescent="0.25">
      <c r="A219" s="141" t="s">
        <v>93</v>
      </c>
      <c r="B219" s="141"/>
      <c r="C219" s="77" t="s">
        <v>108</v>
      </c>
      <c r="D219" s="77">
        <f>2*4</f>
        <v>8</v>
      </c>
      <c r="E219" s="77">
        <v>3</v>
      </c>
      <c r="F219" s="77">
        <v>1</v>
      </c>
      <c r="G219" s="78" t="s">
        <v>109</v>
      </c>
      <c r="H219" s="77">
        <f t="shared" si="38"/>
        <v>2.25</v>
      </c>
      <c r="I219" s="77">
        <f t="shared" si="39"/>
        <v>21.75</v>
      </c>
      <c r="J219" s="154"/>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row>
    <row r="220" spans="1:73" s="20" customFormat="1" ht="15.75" x14ac:dyDescent="0.25">
      <c r="A220" s="141" t="s">
        <v>94</v>
      </c>
      <c r="B220" s="141"/>
      <c r="C220" s="77" t="s">
        <v>110</v>
      </c>
      <c r="D220" s="77">
        <f>2.64+3.44+2.64+3.44</f>
        <v>12.16</v>
      </c>
      <c r="E220" s="77">
        <v>3</v>
      </c>
      <c r="F220" s="77">
        <v>1</v>
      </c>
      <c r="G220" s="78" t="s">
        <v>111</v>
      </c>
      <c r="H220" s="77">
        <f>(0.9*2.1)+(1.2*1.1*2)</f>
        <v>4.53</v>
      </c>
      <c r="I220" s="77">
        <f t="shared" si="39"/>
        <v>31.95</v>
      </c>
      <c r="J220" s="154"/>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row>
    <row r="221" spans="1:73" s="20" customFormat="1" ht="15.75" x14ac:dyDescent="0.25">
      <c r="A221" s="141" t="s">
        <v>126</v>
      </c>
      <c r="B221" s="141"/>
      <c r="C221" s="77"/>
      <c r="D221" s="77">
        <v>2.5</v>
      </c>
      <c r="E221" s="77">
        <v>0.6</v>
      </c>
      <c r="F221" s="77">
        <v>1</v>
      </c>
      <c r="G221" s="78"/>
      <c r="H221" s="77"/>
      <c r="I221" s="77">
        <f t="shared" si="39"/>
        <v>1.5</v>
      </c>
      <c r="J221" s="154"/>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row>
    <row r="222" spans="1:73" s="22" customFormat="1" ht="15.75" x14ac:dyDescent="0.2">
      <c r="A222" s="142" t="s">
        <v>15</v>
      </c>
      <c r="B222" s="142"/>
      <c r="C222" s="142"/>
      <c r="D222" s="142"/>
      <c r="E222" s="142"/>
      <c r="F222" s="142"/>
      <c r="G222" s="142"/>
      <c r="H222" s="142"/>
      <c r="I222" s="80">
        <f>ROUND(SUM(I217:I221),2)</f>
        <v>98.58</v>
      </c>
      <c r="J222" s="155"/>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row>
    <row r="223" spans="1:73" s="22" customFormat="1" ht="15.75" x14ac:dyDescent="0.2">
      <c r="A223" s="139"/>
      <c r="B223" s="139"/>
      <c r="C223" s="139"/>
      <c r="D223" s="139"/>
      <c r="E223" s="139"/>
      <c r="F223" s="139"/>
      <c r="G223" s="139"/>
      <c r="H223" s="139"/>
      <c r="I223" s="139"/>
      <c r="J223" s="139"/>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row>
    <row r="224" spans="1:73" s="18" customFormat="1" ht="31.5" x14ac:dyDescent="0.25">
      <c r="A224" s="57"/>
      <c r="B224" s="58" t="s">
        <v>16</v>
      </c>
      <c r="C224" s="138" t="str">
        <f>'PLANILHA ORÇAMENTÁRIA'!C42</f>
        <v>PEITORIL DE GRANITO, NA COR CINZA ANDORINHA, COM PINGADEIRA, ESP. 2CM, ACABAMENTO POLIDO, ASSENTAMENTO COM ARGAMASSA INDUSTRIALIZADA, INCLUSIVE REJUNTAMENTO</v>
      </c>
      <c r="D224" s="138"/>
      <c r="E224" s="138"/>
      <c r="F224" s="138"/>
      <c r="G224" s="138"/>
      <c r="H224" s="138"/>
      <c r="I224" s="138"/>
      <c r="J224" s="138"/>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row>
    <row r="225" spans="1:73" s="18" customFormat="1" ht="15.75" x14ac:dyDescent="0.25">
      <c r="A225" s="59" t="s">
        <v>17</v>
      </c>
      <c r="B225" s="59" t="s">
        <v>18</v>
      </c>
      <c r="C225" s="138"/>
      <c r="D225" s="138"/>
      <c r="E225" s="138"/>
      <c r="F225" s="138"/>
      <c r="G225" s="138"/>
      <c r="H225" s="138"/>
      <c r="I225" s="138"/>
      <c r="J225" s="138"/>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row>
    <row r="226" spans="1:73" s="22" customFormat="1" ht="15.75" x14ac:dyDescent="0.2">
      <c r="A226" s="139"/>
      <c r="B226" s="139"/>
      <c r="C226" s="108" t="s">
        <v>0</v>
      </c>
      <c r="D226" s="108" t="s">
        <v>20</v>
      </c>
      <c r="E226" s="108" t="s">
        <v>21</v>
      </c>
      <c r="F226" s="108"/>
      <c r="G226" s="108"/>
      <c r="H226" s="108" t="s">
        <v>22</v>
      </c>
      <c r="I226" s="108" t="s">
        <v>23</v>
      </c>
      <c r="J226" s="108" t="s">
        <v>24</v>
      </c>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row>
    <row r="227" spans="1:73" s="22" customFormat="1" ht="15.75" x14ac:dyDescent="0.2">
      <c r="A227" s="140" t="s">
        <v>105</v>
      </c>
      <c r="B227" s="140"/>
      <c r="C227" s="77"/>
      <c r="D227" s="77">
        <v>0.6</v>
      </c>
      <c r="E227" s="68">
        <v>0.2</v>
      </c>
      <c r="F227" s="68"/>
      <c r="G227" s="77"/>
      <c r="H227" s="68">
        <v>4</v>
      </c>
      <c r="I227" s="68">
        <f>ROUND(SUM(D227*H227*E227),2)</f>
        <v>0.48</v>
      </c>
      <c r="J227" s="15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row>
    <row r="228" spans="1:73" s="22" customFormat="1" ht="15.75" x14ac:dyDescent="0.2">
      <c r="A228" s="140" t="s">
        <v>106</v>
      </c>
      <c r="B228" s="140"/>
      <c r="C228" s="77"/>
      <c r="D228" s="77">
        <v>1.2</v>
      </c>
      <c r="E228" s="68">
        <v>0.2</v>
      </c>
      <c r="F228" s="68"/>
      <c r="G228" s="77"/>
      <c r="H228" s="68">
        <v>2</v>
      </c>
      <c r="I228" s="68">
        <f>ROUND(SUM(D228*H228*E228),2)</f>
        <v>0.48</v>
      </c>
      <c r="J228" s="15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row>
    <row r="229" spans="1:73" s="5" customFormat="1" ht="15.75" x14ac:dyDescent="0.25">
      <c r="A229" s="142" t="s">
        <v>15</v>
      </c>
      <c r="B229" s="142"/>
      <c r="C229" s="142"/>
      <c r="D229" s="142"/>
      <c r="E229" s="142"/>
      <c r="F229" s="142"/>
      <c r="G229" s="142"/>
      <c r="H229" s="142"/>
      <c r="I229" s="80">
        <f>ROUND(SUM(I227:I228),2)</f>
        <v>0.96</v>
      </c>
      <c r="J229" s="15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row>
    <row r="230" spans="1:73" s="5" customFormat="1" ht="15.75" x14ac:dyDescent="0.25">
      <c r="A230" s="139"/>
      <c r="B230" s="139"/>
      <c r="C230" s="139"/>
      <c r="D230" s="139"/>
      <c r="E230" s="139"/>
      <c r="F230" s="139"/>
      <c r="G230" s="139"/>
      <c r="H230" s="139"/>
      <c r="I230" s="139"/>
      <c r="J230" s="139"/>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row>
    <row r="231" spans="1:73" s="22" customFormat="1" ht="15.75" x14ac:dyDescent="0.2">
      <c r="A231" s="110" t="s">
        <v>308</v>
      </c>
      <c r="B231" s="145" t="s">
        <v>50</v>
      </c>
      <c r="C231" s="145"/>
      <c r="D231" s="145"/>
      <c r="E231" s="145"/>
      <c r="F231" s="145"/>
      <c r="G231" s="145"/>
      <c r="H231" s="145"/>
      <c r="I231" s="145"/>
      <c r="J231" s="145"/>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row>
    <row r="232" spans="1:73" s="22" customFormat="1" ht="31.5" x14ac:dyDescent="0.2">
      <c r="A232" s="57"/>
      <c r="B232" s="58" t="s">
        <v>16</v>
      </c>
      <c r="C232" s="138" t="str">
        <f>'PLANILHA ORÇAMENTÁRIA'!C44</f>
        <v>BACIA SANITÁRIA (VASO) DE LOUÇA CONVENCIONAL ACESSÍVEL (PCR/PMR), COR BRANCA, INCLUSIVE ACESSÓRIOS DE FIXAÇÃO/VEDAÇÃO E REJUNTAMENTO, EXCLUSIVE ASSENTO, VÁLVULA DE DESCARGA E TUBO DE LIGAÇÃO</v>
      </c>
      <c r="D232" s="138"/>
      <c r="E232" s="138"/>
      <c r="F232" s="138"/>
      <c r="G232" s="138"/>
      <c r="H232" s="138"/>
      <c r="I232" s="138"/>
      <c r="J232" s="138"/>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row>
    <row r="233" spans="1:73" s="22" customFormat="1" ht="15.75" x14ac:dyDescent="0.2">
      <c r="A233" s="59" t="s">
        <v>17</v>
      </c>
      <c r="B233" s="59" t="s">
        <v>18</v>
      </c>
      <c r="C233" s="138"/>
      <c r="D233" s="138"/>
      <c r="E233" s="138"/>
      <c r="F233" s="138"/>
      <c r="G233" s="138"/>
      <c r="H233" s="138"/>
      <c r="I233" s="138"/>
      <c r="J233" s="138"/>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row>
    <row r="234" spans="1:73" s="22" customFormat="1" ht="15.75" x14ac:dyDescent="0.2">
      <c r="A234" s="139"/>
      <c r="B234" s="139"/>
      <c r="C234" s="108" t="s">
        <v>0</v>
      </c>
      <c r="D234" s="108" t="s">
        <v>51</v>
      </c>
      <c r="E234" s="108"/>
      <c r="F234" s="108"/>
      <c r="G234" s="108"/>
      <c r="H234" s="109"/>
      <c r="I234" s="108" t="s">
        <v>52</v>
      </c>
      <c r="J234" s="108" t="s">
        <v>24</v>
      </c>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row>
    <row r="235" spans="1:73" s="22" customFormat="1" ht="15.75" x14ac:dyDescent="0.2">
      <c r="A235" s="140" t="s">
        <v>144</v>
      </c>
      <c r="B235" s="140"/>
      <c r="C235" s="67"/>
      <c r="D235" s="68">
        <v>2</v>
      </c>
      <c r="E235" s="68"/>
      <c r="F235" s="68"/>
      <c r="G235" s="108"/>
      <c r="H235" s="109"/>
      <c r="I235" s="68">
        <f>D235</f>
        <v>2</v>
      </c>
      <c r="J235" s="139"/>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row>
    <row r="236" spans="1:73" s="22" customFormat="1" ht="15.75" x14ac:dyDescent="0.2">
      <c r="A236" s="142" t="s">
        <v>15</v>
      </c>
      <c r="B236" s="142"/>
      <c r="C236" s="142"/>
      <c r="D236" s="142"/>
      <c r="E236" s="142"/>
      <c r="F236" s="142"/>
      <c r="G236" s="142"/>
      <c r="H236" s="142"/>
      <c r="I236" s="80">
        <f>ROUND(SUM(I235:I235),2)</f>
        <v>2</v>
      </c>
      <c r="J236" s="139"/>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row>
    <row r="237" spans="1:73" s="22" customFormat="1" ht="15.75" x14ac:dyDescent="0.2">
      <c r="A237" s="139"/>
      <c r="B237" s="139"/>
      <c r="C237" s="139"/>
      <c r="D237" s="139"/>
      <c r="E237" s="139"/>
      <c r="F237" s="139"/>
      <c r="G237" s="139"/>
      <c r="H237" s="139"/>
      <c r="I237" s="139"/>
      <c r="J237" s="139"/>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row>
    <row r="238" spans="1:73" s="22" customFormat="1" ht="31.5" x14ac:dyDescent="0.2">
      <c r="A238" s="57"/>
      <c r="B238" s="58" t="s">
        <v>16</v>
      </c>
      <c r="C238" s="138" t="str">
        <f>'PLANILHA ORÇAMENTÁRIA'!C45</f>
        <v>BACIA SANITÁRIA (VASO) DE LOUÇA COM CAIXA ACOPLADA, COR BRANCA, INCLUSIVE ACESSÓRIOS DE FIXAÇÃO/VEDAÇÃO, ENGATE FLEXÍVEL METÁLICO E REJUNTAMENTO, EXCLUSIVE ASSENTO</v>
      </c>
      <c r="D238" s="138"/>
      <c r="E238" s="138"/>
      <c r="F238" s="138"/>
      <c r="G238" s="138"/>
      <c r="H238" s="138"/>
      <c r="I238" s="138"/>
      <c r="J238" s="138"/>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row>
    <row r="239" spans="1:73" s="22" customFormat="1" ht="15.75" x14ac:dyDescent="0.2">
      <c r="A239" s="59" t="s">
        <v>17</v>
      </c>
      <c r="B239" s="59" t="s">
        <v>18</v>
      </c>
      <c r="C239" s="138"/>
      <c r="D239" s="138"/>
      <c r="E239" s="138"/>
      <c r="F239" s="138"/>
      <c r="G239" s="138"/>
      <c r="H239" s="138"/>
      <c r="I239" s="138"/>
      <c r="J239" s="138"/>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row>
    <row r="240" spans="1:73" s="22" customFormat="1" ht="15.75" x14ac:dyDescent="0.2">
      <c r="A240" s="139"/>
      <c r="B240" s="139"/>
      <c r="C240" s="108" t="s">
        <v>0</v>
      </c>
      <c r="D240" s="108" t="s">
        <v>51</v>
      </c>
      <c r="E240" s="108"/>
      <c r="F240" s="108"/>
      <c r="G240" s="108"/>
      <c r="H240" s="109"/>
      <c r="I240" s="108" t="s">
        <v>52</v>
      </c>
      <c r="J240" s="108" t="s">
        <v>24</v>
      </c>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row>
    <row r="241" spans="1:73" s="22" customFormat="1" ht="15.75" x14ac:dyDescent="0.2">
      <c r="A241" s="140" t="s">
        <v>145</v>
      </c>
      <c r="B241" s="140"/>
      <c r="C241" s="67"/>
      <c r="D241" s="68">
        <v>1</v>
      </c>
      <c r="E241" s="68"/>
      <c r="F241" s="68"/>
      <c r="G241" s="108"/>
      <c r="H241" s="109"/>
      <c r="I241" s="68">
        <f>D241</f>
        <v>1</v>
      </c>
      <c r="J241" s="139"/>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row>
    <row r="242" spans="1:73" s="22" customFormat="1" ht="15.75" x14ac:dyDescent="0.2">
      <c r="A242" s="142" t="s">
        <v>15</v>
      </c>
      <c r="B242" s="142"/>
      <c r="C242" s="142"/>
      <c r="D242" s="142"/>
      <c r="E242" s="142"/>
      <c r="F242" s="142"/>
      <c r="G242" s="142"/>
      <c r="H242" s="142"/>
      <c r="I242" s="80">
        <f>ROUND(SUM(I241:I241),2)</f>
        <v>1</v>
      </c>
      <c r="J242" s="139"/>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row>
    <row r="243" spans="1:73" s="22" customFormat="1" ht="15.75" x14ac:dyDescent="0.2">
      <c r="A243" s="139"/>
      <c r="B243" s="139"/>
      <c r="C243" s="139"/>
      <c r="D243" s="139"/>
      <c r="E243" s="139"/>
      <c r="F243" s="139"/>
      <c r="G243" s="139"/>
      <c r="H243" s="139"/>
      <c r="I243" s="139"/>
      <c r="J243" s="139"/>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row>
    <row r="244" spans="1:73" s="22" customFormat="1" ht="31.5" x14ac:dyDescent="0.2">
      <c r="A244" s="57"/>
      <c r="B244" s="58" t="s">
        <v>16</v>
      </c>
      <c r="C244" s="138" t="str">
        <f>'PLANILHA ORÇAMENTÁRIA'!C46</f>
        <v>CUBA DE LOUÇA BRANCA DE EMBUTIR, FORMATO OVAL, INCLUSIVE VÁLVULA DE ESCOAMENTO DE METAL COM ACABAMENTO CROMADO, SIFÃO DE METAL TIPO COPO COM ACABAMENTO CROMADO</v>
      </c>
      <c r="D244" s="138" t="s">
        <v>9</v>
      </c>
      <c r="E244" s="138"/>
      <c r="F244" s="138"/>
      <c r="G244" s="138"/>
      <c r="H244" s="138"/>
      <c r="I244" s="138"/>
      <c r="J244" s="138"/>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row>
    <row r="245" spans="1:73" s="22" customFormat="1" ht="15.75" x14ac:dyDescent="0.2">
      <c r="A245" s="59" t="s">
        <v>17</v>
      </c>
      <c r="B245" s="59" t="s">
        <v>18</v>
      </c>
      <c r="C245" s="138"/>
      <c r="D245" s="138"/>
      <c r="E245" s="138"/>
      <c r="F245" s="138"/>
      <c r="G245" s="138"/>
      <c r="H245" s="138"/>
      <c r="I245" s="138"/>
      <c r="J245" s="138"/>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row>
    <row r="246" spans="1:73" s="22" customFormat="1" ht="15.75" x14ac:dyDescent="0.2">
      <c r="A246" s="139"/>
      <c r="B246" s="139"/>
      <c r="C246" s="108" t="s">
        <v>0</v>
      </c>
      <c r="D246" s="108" t="s">
        <v>51</v>
      </c>
      <c r="E246" s="108"/>
      <c r="F246" s="108"/>
      <c r="G246" s="108"/>
      <c r="H246" s="109"/>
      <c r="I246" s="108" t="s">
        <v>52</v>
      </c>
      <c r="J246" s="108" t="s">
        <v>24</v>
      </c>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row>
    <row r="247" spans="1:73" s="22" customFormat="1" ht="15.75" x14ac:dyDescent="0.2">
      <c r="A247" s="140" t="s">
        <v>93</v>
      </c>
      <c r="B247" s="140"/>
      <c r="C247" s="67"/>
      <c r="D247" s="68">
        <v>1</v>
      </c>
      <c r="E247" s="68"/>
      <c r="F247" s="68"/>
      <c r="G247" s="108"/>
      <c r="H247" s="109"/>
      <c r="I247" s="68">
        <f>D247</f>
        <v>1</v>
      </c>
      <c r="J247" s="139"/>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row>
    <row r="248" spans="1:73" s="22" customFormat="1" ht="15.75" x14ac:dyDescent="0.2">
      <c r="A248" s="142" t="s">
        <v>15</v>
      </c>
      <c r="B248" s="142"/>
      <c r="C248" s="142"/>
      <c r="D248" s="142"/>
      <c r="E248" s="142"/>
      <c r="F248" s="142"/>
      <c r="G248" s="142"/>
      <c r="H248" s="142"/>
      <c r="I248" s="80">
        <f>ROUND(SUM(I247:I247),2)</f>
        <v>1</v>
      </c>
      <c r="J248" s="139"/>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row>
    <row r="249" spans="1:73" s="22" customFormat="1" ht="15.75" x14ac:dyDescent="0.2">
      <c r="A249" s="139"/>
      <c r="B249" s="139"/>
      <c r="C249" s="139"/>
      <c r="D249" s="139"/>
      <c r="E249" s="139"/>
      <c r="F249" s="139"/>
      <c r="G249" s="139"/>
      <c r="H249" s="139"/>
      <c r="I249" s="139"/>
      <c r="J249" s="139"/>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row>
    <row r="250" spans="1:73" s="22" customFormat="1" ht="31.5" x14ac:dyDescent="0.2">
      <c r="A250" s="57"/>
      <c r="B250" s="58" t="s">
        <v>16</v>
      </c>
      <c r="C250" s="138" t="str">
        <f>'PLANILHA ORÇAMENTÁRIA'!C47</f>
        <v>LAVATÓRIO DE CANTO DE LOUÇA BRANCA SEM COLUNA, TAMANHO PEQUENO, INCLUSIVE ACESSÓRIOS DE FIXAÇÃO COM PARAFUSO CASTELO, VÁLVULA DE ESCOAMENTO DE METAL COM ACABAMENTO CROMADO, SIFÃO DE METAL TIPO COPO COM ACABAMENTO CROMADO, E REJUNTAMENTO, EXCLUSIVE TORNEIRA E ENGATE FLEXÍVEL</v>
      </c>
      <c r="D250" s="138" t="s">
        <v>9</v>
      </c>
      <c r="E250" s="138"/>
      <c r="F250" s="138"/>
      <c r="G250" s="138"/>
      <c r="H250" s="138"/>
      <c r="I250" s="138"/>
      <c r="J250" s="138"/>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row>
    <row r="251" spans="1:73" s="22" customFormat="1" ht="15.75" x14ac:dyDescent="0.2">
      <c r="A251" s="59" t="s">
        <v>17</v>
      </c>
      <c r="B251" s="59" t="s">
        <v>18</v>
      </c>
      <c r="C251" s="138"/>
      <c r="D251" s="138"/>
      <c r="E251" s="138"/>
      <c r="F251" s="138"/>
      <c r="G251" s="138"/>
      <c r="H251" s="138"/>
      <c r="I251" s="138"/>
      <c r="J251" s="138"/>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row>
    <row r="252" spans="1:73" s="22" customFormat="1" ht="15.75" x14ac:dyDescent="0.2">
      <c r="A252" s="139"/>
      <c r="B252" s="139"/>
      <c r="C252" s="108" t="s">
        <v>0</v>
      </c>
      <c r="D252" s="108" t="s">
        <v>51</v>
      </c>
      <c r="E252" s="108"/>
      <c r="F252" s="108"/>
      <c r="G252" s="108"/>
      <c r="H252" s="109"/>
      <c r="I252" s="108" t="s">
        <v>52</v>
      </c>
      <c r="J252" s="108" t="s">
        <v>24</v>
      </c>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row>
    <row r="253" spans="1:73" s="22" customFormat="1" ht="15.75" x14ac:dyDescent="0.2">
      <c r="A253" s="140" t="str">
        <f>A235</f>
        <v>PNE FEM., PNE MASC.</v>
      </c>
      <c r="B253" s="140"/>
      <c r="C253" s="67"/>
      <c r="D253" s="68">
        <v>2</v>
      </c>
      <c r="E253" s="68"/>
      <c r="F253" s="68"/>
      <c r="G253" s="108"/>
      <c r="H253" s="109"/>
      <c r="I253" s="68">
        <f>D253</f>
        <v>2</v>
      </c>
      <c r="J253" s="139"/>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row>
    <row r="254" spans="1:73" s="22" customFormat="1" ht="15.75" x14ac:dyDescent="0.2">
      <c r="A254" s="142" t="s">
        <v>15</v>
      </c>
      <c r="B254" s="142"/>
      <c r="C254" s="142"/>
      <c r="D254" s="142"/>
      <c r="E254" s="142"/>
      <c r="F254" s="142"/>
      <c r="G254" s="142"/>
      <c r="H254" s="142"/>
      <c r="I254" s="80">
        <f>ROUND(SUM(I253:I253),2)</f>
        <v>2</v>
      </c>
      <c r="J254" s="139"/>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row>
    <row r="255" spans="1:73" s="22" customFormat="1" ht="15.75" x14ac:dyDescent="0.2">
      <c r="A255" s="139"/>
      <c r="B255" s="139"/>
      <c r="C255" s="139"/>
      <c r="D255" s="139"/>
      <c r="E255" s="139"/>
      <c r="F255" s="139"/>
      <c r="G255" s="139"/>
      <c r="H255" s="139"/>
      <c r="I255" s="139"/>
      <c r="J255" s="139"/>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row>
    <row r="256" spans="1:73" s="22" customFormat="1" ht="31.5" x14ac:dyDescent="0.2">
      <c r="A256" s="57"/>
      <c r="B256" s="58" t="s">
        <v>16</v>
      </c>
      <c r="C256" s="138" t="str">
        <f>'PLANILHA ORÇAMENTÁRIA'!C48</f>
        <v>BANCADA EM GRANITO, COR CINZA ANDORINHA, ESP. 3CM, ACABAMENTO POLIDO, APOIADA EM ALVENARIA, EXCLUSIVE ALVENARIA, RODABANCA/FRONTÃO, TESTEIRA/FAIXA, FURO EM BANCADA, CUBA METÁLICA, VÁLVULA, SIFÃO, TORNEIRA E ENGATE FLEXÍVEL</v>
      </c>
      <c r="D256" s="138" t="s">
        <v>10</v>
      </c>
      <c r="E256" s="138"/>
      <c r="F256" s="138"/>
      <c r="G256" s="138"/>
      <c r="H256" s="138"/>
      <c r="I256" s="138"/>
      <c r="J256" s="138"/>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row>
    <row r="257" spans="1:73" s="22" customFormat="1" ht="15.75" x14ac:dyDescent="0.2">
      <c r="A257" s="59" t="s">
        <v>17</v>
      </c>
      <c r="B257" s="59" t="s">
        <v>18</v>
      </c>
      <c r="C257" s="138"/>
      <c r="D257" s="138"/>
      <c r="E257" s="138"/>
      <c r="F257" s="138"/>
      <c r="G257" s="138"/>
      <c r="H257" s="138"/>
      <c r="I257" s="138"/>
      <c r="J257" s="138"/>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row>
    <row r="258" spans="1:73" s="22" customFormat="1" ht="15.75" x14ac:dyDescent="0.2">
      <c r="A258" s="139"/>
      <c r="B258" s="139"/>
      <c r="C258" s="108" t="s">
        <v>0</v>
      </c>
      <c r="D258" s="108" t="s">
        <v>41</v>
      </c>
      <c r="E258" s="108" t="s">
        <v>21</v>
      </c>
      <c r="F258" s="108" t="s">
        <v>22</v>
      </c>
      <c r="G258" s="108"/>
      <c r="H258" s="109"/>
      <c r="I258" s="108" t="s">
        <v>23</v>
      </c>
      <c r="J258" s="108" t="s">
        <v>24</v>
      </c>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row>
    <row r="259" spans="1:73" s="22" customFormat="1" ht="15.75" x14ac:dyDescent="0.2">
      <c r="A259" s="140" t="s">
        <v>146</v>
      </c>
      <c r="B259" s="140"/>
      <c r="C259" s="67"/>
      <c r="D259" s="68">
        <v>1.85</v>
      </c>
      <c r="E259" s="68">
        <v>0.6</v>
      </c>
      <c r="F259" s="68">
        <v>1</v>
      </c>
      <c r="G259" s="108"/>
      <c r="H259" s="109"/>
      <c r="I259" s="68">
        <f>ROUND(SUM(D259*F259*E259),2)</f>
        <v>1.1100000000000001</v>
      </c>
      <c r="J259" s="139"/>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row>
    <row r="260" spans="1:73" s="22" customFormat="1" ht="15.75" x14ac:dyDescent="0.2">
      <c r="A260" s="140" t="s">
        <v>147</v>
      </c>
      <c r="B260" s="140"/>
      <c r="C260" s="67"/>
      <c r="D260" s="68">
        <v>1.45</v>
      </c>
      <c r="E260" s="68">
        <v>0.6</v>
      </c>
      <c r="F260" s="68">
        <v>1</v>
      </c>
      <c r="G260" s="108"/>
      <c r="H260" s="109"/>
      <c r="I260" s="68">
        <f t="shared" ref="I260:I261" si="40">ROUND(SUM(D260*F260*E260),2)</f>
        <v>0.87</v>
      </c>
      <c r="J260" s="139"/>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row>
    <row r="261" spans="1:73" s="22" customFormat="1" ht="15.75" x14ac:dyDescent="0.2">
      <c r="A261" s="140" t="s">
        <v>148</v>
      </c>
      <c r="B261" s="140"/>
      <c r="C261" s="67"/>
      <c r="D261" s="68">
        <v>0.6</v>
      </c>
      <c r="E261" s="68">
        <v>0.6</v>
      </c>
      <c r="F261" s="68">
        <v>1</v>
      </c>
      <c r="G261" s="108"/>
      <c r="H261" s="109"/>
      <c r="I261" s="68">
        <f t="shared" si="40"/>
        <v>0.36</v>
      </c>
      <c r="J261" s="139"/>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row>
    <row r="262" spans="1:73" s="22" customFormat="1" ht="15.75" x14ac:dyDescent="0.2">
      <c r="A262" s="142" t="s">
        <v>15</v>
      </c>
      <c r="B262" s="142"/>
      <c r="C262" s="142"/>
      <c r="D262" s="142"/>
      <c r="E262" s="142"/>
      <c r="F262" s="142"/>
      <c r="G262" s="142"/>
      <c r="H262" s="142"/>
      <c r="I262" s="80">
        <f>ROUND(SUM(I259:I261),2)</f>
        <v>2.34</v>
      </c>
      <c r="J262" s="139"/>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row>
    <row r="263" spans="1:73" s="22" customFormat="1" ht="15.75" x14ac:dyDescent="0.2">
      <c r="A263" s="139"/>
      <c r="B263" s="139"/>
      <c r="C263" s="139"/>
      <c r="D263" s="139"/>
      <c r="E263" s="139"/>
      <c r="F263" s="139"/>
      <c r="G263" s="139"/>
      <c r="H263" s="139"/>
      <c r="I263" s="139"/>
      <c r="J263" s="139"/>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row>
    <row r="264" spans="1:73" s="22" customFormat="1" ht="31.5" x14ac:dyDescent="0.2">
      <c r="A264" s="57"/>
      <c r="B264" s="58" t="s">
        <v>16</v>
      </c>
      <c r="C264" s="138" t="str">
        <f>'PLANILHA ORÇAMENTÁRIA'!C49</f>
        <v>RODABANCA/FRONTÃO PARA BANCADA EM GRANITO, COR CINZA ANDORINHA, ESP. 2CM, ALTURA DE 10CM, INCLUSIVE REJUNTAMENTO EM MASSA PLÁSTICA NA COR DA PEDRA</v>
      </c>
      <c r="D264" s="138" t="s">
        <v>10</v>
      </c>
      <c r="E264" s="138"/>
      <c r="F264" s="138"/>
      <c r="G264" s="138"/>
      <c r="H264" s="138"/>
      <c r="I264" s="138"/>
      <c r="J264" s="138"/>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row>
    <row r="265" spans="1:73" s="22" customFormat="1" ht="15.75" x14ac:dyDescent="0.2">
      <c r="A265" s="59" t="s">
        <v>17</v>
      </c>
      <c r="B265" s="59" t="s">
        <v>18</v>
      </c>
      <c r="C265" s="138"/>
      <c r="D265" s="138"/>
      <c r="E265" s="138"/>
      <c r="F265" s="138"/>
      <c r="G265" s="138"/>
      <c r="H265" s="138"/>
      <c r="I265" s="138"/>
      <c r="J265" s="138"/>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row>
    <row r="266" spans="1:73" s="22" customFormat="1" ht="15.75" x14ac:dyDescent="0.2">
      <c r="A266" s="139"/>
      <c r="B266" s="139"/>
      <c r="C266" s="108" t="s">
        <v>0</v>
      </c>
      <c r="D266" s="108" t="s">
        <v>41</v>
      </c>
      <c r="E266" s="108"/>
      <c r="F266" s="108"/>
      <c r="G266" s="108"/>
      <c r="H266" s="108" t="s">
        <v>22</v>
      </c>
      <c r="I266" s="108" t="s">
        <v>47</v>
      </c>
      <c r="J266" s="108" t="s">
        <v>24</v>
      </c>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row>
    <row r="267" spans="1:73" s="22" customFormat="1" ht="15.75" x14ac:dyDescent="0.2">
      <c r="A267" s="140" t="str">
        <f>A259</f>
        <v xml:space="preserve">PIA COZINHA </v>
      </c>
      <c r="B267" s="140"/>
      <c r="C267" s="67" t="s">
        <v>116</v>
      </c>
      <c r="D267" s="68">
        <f>1.8+0.6</f>
        <v>2.4</v>
      </c>
      <c r="E267" s="68"/>
      <c r="F267" s="68"/>
      <c r="G267" s="108"/>
      <c r="H267" s="68">
        <v>1</v>
      </c>
      <c r="I267" s="68">
        <f>ROUND(SUM(D267*H267),2)</f>
        <v>2.4</v>
      </c>
      <c r="J267" s="139"/>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row>
    <row r="268" spans="1:73" s="22" customFormat="1" ht="15.75" x14ac:dyDescent="0.2">
      <c r="A268" s="140" t="str">
        <f t="shared" ref="A268:A269" si="41">A260</f>
        <v xml:space="preserve">BALCÃO COZINHA </v>
      </c>
      <c r="B268" s="140"/>
      <c r="C268" s="67" t="s">
        <v>149</v>
      </c>
      <c r="D268" s="68">
        <f>1.45+0.6</f>
        <v>2.0499999999999998</v>
      </c>
      <c r="E268" s="68"/>
      <c r="F268" s="68"/>
      <c r="G268" s="108"/>
      <c r="H268" s="68">
        <v>1</v>
      </c>
      <c r="I268" s="68">
        <f t="shared" ref="I268:I269" si="42">ROUND(SUM(D268*H268),2)</f>
        <v>2.0499999999999998</v>
      </c>
      <c r="J268" s="139"/>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row>
    <row r="269" spans="1:73" s="22" customFormat="1" ht="15.75" x14ac:dyDescent="0.2">
      <c r="A269" s="140" t="str">
        <f t="shared" si="41"/>
        <v>W.C. FUN</v>
      </c>
      <c r="B269" s="140"/>
      <c r="C269" s="67" t="s">
        <v>150</v>
      </c>
      <c r="D269" s="68">
        <f>0.6+0.6</f>
        <v>1.2</v>
      </c>
      <c r="E269" s="68"/>
      <c r="F269" s="68"/>
      <c r="G269" s="108"/>
      <c r="H269" s="68">
        <v>1</v>
      </c>
      <c r="I269" s="68">
        <f t="shared" si="42"/>
        <v>1.2</v>
      </c>
      <c r="J269" s="139"/>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row>
    <row r="270" spans="1:73" s="22" customFormat="1" ht="15.75" x14ac:dyDescent="0.2">
      <c r="A270" s="142" t="s">
        <v>15</v>
      </c>
      <c r="B270" s="142"/>
      <c r="C270" s="142"/>
      <c r="D270" s="142"/>
      <c r="E270" s="142"/>
      <c r="F270" s="142"/>
      <c r="G270" s="142"/>
      <c r="H270" s="142"/>
      <c r="I270" s="80">
        <f>ROUND(SUM(I267:I269),2)</f>
        <v>5.65</v>
      </c>
      <c r="J270" s="139"/>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row>
    <row r="271" spans="1:73" s="22" customFormat="1" ht="15.75" x14ac:dyDescent="0.2">
      <c r="A271" s="139"/>
      <c r="B271" s="139"/>
      <c r="C271" s="139"/>
      <c r="D271" s="139"/>
      <c r="E271" s="139"/>
      <c r="F271" s="139"/>
      <c r="G271" s="139"/>
      <c r="H271" s="139"/>
      <c r="I271" s="139"/>
      <c r="J271" s="139"/>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row>
    <row r="272" spans="1:73" s="23" customFormat="1" ht="31.5" x14ac:dyDescent="0.25">
      <c r="A272" s="57"/>
      <c r="B272" s="58" t="s">
        <v>16</v>
      </c>
      <c r="C272" s="138" t="str">
        <f>'PLANILHA ORÇAMENTÁRIA'!C50</f>
        <v>BARRA DE APOIO EM AÇO INOX POLIDO PARA LAVATÓRIO DE CANTO, DIÂMETRO DE 1.1/4", PARA ACESSIBILIDADE (PMR/PCR), INSTALADO EM PAREDE, INCLUSIVE ACESSÓRIOS PARA FIXAÇÃO</v>
      </c>
      <c r="D272" s="138" t="s">
        <v>12</v>
      </c>
      <c r="E272" s="138"/>
      <c r="F272" s="138"/>
      <c r="G272" s="138"/>
      <c r="H272" s="138"/>
      <c r="I272" s="138"/>
      <c r="J272" s="138"/>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row>
    <row r="273" spans="1:73" s="22" customFormat="1" ht="15.75" x14ac:dyDescent="0.2">
      <c r="A273" s="59" t="s">
        <v>17</v>
      </c>
      <c r="B273" s="59" t="s">
        <v>18</v>
      </c>
      <c r="C273" s="138"/>
      <c r="D273" s="138"/>
      <c r="E273" s="138"/>
      <c r="F273" s="138"/>
      <c r="G273" s="138"/>
      <c r="H273" s="138"/>
      <c r="I273" s="138"/>
      <c r="J273" s="138"/>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row>
    <row r="274" spans="1:73" s="22" customFormat="1" ht="15.75" x14ac:dyDescent="0.2">
      <c r="A274" s="139"/>
      <c r="B274" s="139"/>
      <c r="C274" s="108" t="s">
        <v>0</v>
      </c>
      <c r="D274" s="108" t="s">
        <v>51</v>
      </c>
      <c r="E274" s="108"/>
      <c r="F274" s="108"/>
      <c r="G274" s="108"/>
      <c r="H274" s="108" t="s">
        <v>22</v>
      </c>
      <c r="I274" s="108" t="s">
        <v>52</v>
      </c>
      <c r="J274" s="108" t="s">
        <v>24</v>
      </c>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row>
    <row r="275" spans="1:73" s="22" customFormat="1" ht="15.75" x14ac:dyDescent="0.2">
      <c r="A275" s="140"/>
      <c r="B275" s="140"/>
      <c r="C275" s="81"/>
      <c r="D275" s="68">
        <v>1</v>
      </c>
      <c r="E275" s="68"/>
      <c r="F275" s="68"/>
      <c r="G275" s="108"/>
      <c r="H275" s="68">
        <v>2</v>
      </c>
      <c r="I275" s="68">
        <f>D275*H275</f>
        <v>2</v>
      </c>
      <c r="J275" s="139"/>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row>
    <row r="276" spans="1:73" s="22" customFormat="1" ht="15.75" x14ac:dyDescent="0.2">
      <c r="A276" s="142" t="s">
        <v>15</v>
      </c>
      <c r="B276" s="142"/>
      <c r="C276" s="142"/>
      <c r="D276" s="142"/>
      <c r="E276" s="142"/>
      <c r="F276" s="142"/>
      <c r="G276" s="142"/>
      <c r="H276" s="142"/>
      <c r="I276" s="80">
        <f>ROUND(SUM(I275:I275),2)</f>
        <v>2</v>
      </c>
      <c r="J276" s="139"/>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row>
    <row r="277" spans="1:73" s="22" customFormat="1" ht="15.75" x14ac:dyDescent="0.2">
      <c r="A277" s="139"/>
      <c r="B277" s="139"/>
      <c r="C277" s="139"/>
      <c r="D277" s="139"/>
      <c r="E277" s="139"/>
      <c r="F277" s="139"/>
      <c r="G277" s="139"/>
      <c r="H277" s="139"/>
      <c r="I277" s="139"/>
      <c r="J277" s="139"/>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row>
    <row r="278" spans="1:73" s="23" customFormat="1" ht="31.5" x14ac:dyDescent="0.25">
      <c r="A278" s="57"/>
      <c r="B278" s="58" t="s">
        <v>16</v>
      </c>
      <c r="C278" s="138" t="str">
        <f>'PLANILHA ORÇAMENTÁRIA'!C51</f>
        <v>BARRA DE APOIO EM AÇO INOX POLIDO RETA, DIÂMETRO DE 1.1/4", PARA ACESSIBILIDADE (PMR/PCR), COMPRIMENTO 40CM, INSTALADO EM PORTA/PAREDE, INCLUSIVE ACESSÓRIOS PARA FIXAÇÃO</v>
      </c>
      <c r="D278" s="138" t="s">
        <v>11</v>
      </c>
      <c r="E278" s="138"/>
      <c r="F278" s="138"/>
      <c r="G278" s="138"/>
      <c r="H278" s="138"/>
      <c r="I278" s="138"/>
      <c r="J278" s="138"/>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row>
    <row r="279" spans="1:73" s="22" customFormat="1" ht="15.75" x14ac:dyDescent="0.2">
      <c r="A279" s="59" t="s">
        <v>17</v>
      </c>
      <c r="B279" s="59" t="s">
        <v>18</v>
      </c>
      <c r="C279" s="138"/>
      <c r="D279" s="138"/>
      <c r="E279" s="138"/>
      <c r="F279" s="138"/>
      <c r="G279" s="138"/>
      <c r="H279" s="138"/>
      <c r="I279" s="138"/>
      <c r="J279" s="138"/>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row>
    <row r="280" spans="1:73" s="22" customFormat="1" ht="15.75" x14ac:dyDescent="0.2">
      <c r="A280" s="139"/>
      <c r="B280" s="139"/>
      <c r="C280" s="108" t="s">
        <v>0</v>
      </c>
      <c r="D280" s="108" t="s">
        <v>51</v>
      </c>
      <c r="E280" s="108"/>
      <c r="F280" s="108"/>
      <c r="G280" s="108"/>
      <c r="H280" s="108" t="s">
        <v>22</v>
      </c>
      <c r="I280" s="108" t="s">
        <v>52</v>
      </c>
      <c r="J280" s="108" t="s">
        <v>24</v>
      </c>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row>
    <row r="281" spans="1:73" s="22" customFormat="1" ht="15.75" x14ac:dyDescent="0.2">
      <c r="A281" s="140"/>
      <c r="B281" s="140"/>
      <c r="C281" s="81"/>
      <c r="D281" s="68">
        <v>1</v>
      </c>
      <c r="E281" s="68"/>
      <c r="F281" s="68"/>
      <c r="G281" s="108"/>
      <c r="H281" s="68">
        <v>2</v>
      </c>
      <c r="I281" s="68">
        <f>D281*H281</f>
        <v>2</v>
      </c>
      <c r="J281" s="139"/>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row>
    <row r="282" spans="1:73" s="22" customFormat="1" ht="15.75" x14ac:dyDescent="0.2">
      <c r="A282" s="142" t="s">
        <v>15</v>
      </c>
      <c r="B282" s="142"/>
      <c r="C282" s="142"/>
      <c r="D282" s="142"/>
      <c r="E282" s="142"/>
      <c r="F282" s="142"/>
      <c r="G282" s="142"/>
      <c r="H282" s="142"/>
      <c r="I282" s="80">
        <f>ROUND(SUM(I281:I281),2)</f>
        <v>2</v>
      </c>
      <c r="J282" s="139"/>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row>
    <row r="283" spans="1:73" s="22" customFormat="1" ht="15.75" x14ac:dyDescent="0.2">
      <c r="A283" s="139"/>
      <c r="B283" s="139"/>
      <c r="C283" s="139"/>
      <c r="D283" s="139"/>
      <c r="E283" s="139"/>
      <c r="F283" s="139"/>
      <c r="G283" s="139"/>
      <c r="H283" s="139"/>
      <c r="I283" s="139"/>
      <c r="J283" s="139"/>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row>
    <row r="284" spans="1:73" s="22" customFormat="1" ht="31.5" x14ac:dyDescent="0.2">
      <c r="A284" s="57"/>
      <c r="B284" s="58" t="s">
        <v>16</v>
      </c>
      <c r="C284" s="138" t="str">
        <f>'PLANILHA ORÇAMENTÁRIA'!C52</f>
        <v>BARRA DE APOIO EM AÇO INOX POLIDO RETA, DIÂMETRO DE 1.1/4", PARA ACESSIBILIDADE (PMR/PCR), COMPRIMENTO 100CM, INSTALADO EM PAREDE, INCLUSIVE ACESSÓRIOS PARA FIXAÇÃO</v>
      </c>
      <c r="D284" s="138" t="s">
        <v>54</v>
      </c>
      <c r="E284" s="138"/>
      <c r="F284" s="138"/>
      <c r="G284" s="138"/>
      <c r="H284" s="138"/>
      <c r="I284" s="138"/>
      <c r="J284" s="138"/>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row>
    <row r="285" spans="1:73" s="24" customFormat="1" ht="15.75" x14ac:dyDescent="0.25">
      <c r="A285" s="59" t="s">
        <v>17</v>
      </c>
      <c r="B285" s="59" t="s">
        <v>18</v>
      </c>
      <c r="C285" s="138"/>
      <c r="D285" s="138"/>
      <c r="E285" s="138"/>
      <c r="F285" s="138"/>
      <c r="G285" s="138"/>
      <c r="H285" s="138"/>
      <c r="I285" s="138"/>
      <c r="J285" s="138"/>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row>
    <row r="286" spans="1:73" s="24" customFormat="1" ht="15.75" x14ac:dyDescent="0.25">
      <c r="A286" s="139"/>
      <c r="B286" s="139"/>
      <c r="C286" s="108" t="s">
        <v>0</v>
      </c>
      <c r="D286" s="108" t="s">
        <v>51</v>
      </c>
      <c r="E286" s="108"/>
      <c r="F286" s="108"/>
      <c r="G286" s="108"/>
      <c r="H286" s="108" t="s">
        <v>22</v>
      </c>
      <c r="I286" s="108" t="s">
        <v>52</v>
      </c>
      <c r="J286" s="108" t="s">
        <v>24</v>
      </c>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row>
    <row r="287" spans="1:73" s="24" customFormat="1" ht="15.75" x14ac:dyDescent="0.25">
      <c r="A287" s="140"/>
      <c r="B287" s="140"/>
      <c r="C287" s="67"/>
      <c r="D287" s="68">
        <v>1</v>
      </c>
      <c r="E287" s="68"/>
      <c r="F287" s="68"/>
      <c r="G287" s="108"/>
      <c r="H287" s="68">
        <v>2</v>
      </c>
      <c r="I287" s="68">
        <f>D287*H287</f>
        <v>2</v>
      </c>
      <c r="J287" s="139"/>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row>
    <row r="288" spans="1:73" s="24" customFormat="1" ht="15.75" x14ac:dyDescent="0.25">
      <c r="A288" s="142" t="s">
        <v>15</v>
      </c>
      <c r="B288" s="142"/>
      <c r="C288" s="142"/>
      <c r="D288" s="142"/>
      <c r="E288" s="142"/>
      <c r="F288" s="142"/>
      <c r="G288" s="142"/>
      <c r="H288" s="142"/>
      <c r="I288" s="80">
        <f>ROUND(SUM(I287:I287),2)</f>
        <v>2</v>
      </c>
      <c r="J288" s="139"/>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row>
    <row r="289" spans="1:73" s="22" customFormat="1" ht="15.75" x14ac:dyDescent="0.2">
      <c r="A289" s="118"/>
      <c r="B289" s="118"/>
      <c r="C289" s="118"/>
      <c r="D289" s="118"/>
      <c r="E289" s="118"/>
      <c r="F289" s="118"/>
      <c r="G289" s="118"/>
      <c r="H289" s="118"/>
      <c r="I289" s="118"/>
      <c r="J289" s="118"/>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row>
    <row r="290" spans="1:73" s="22" customFormat="1" ht="31.5" x14ac:dyDescent="0.2">
      <c r="A290" s="57"/>
      <c r="B290" s="58" t="s">
        <v>16</v>
      </c>
      <c r="C290" s="138" t="str">
        <f>'PLANILHA ORÇAMENTÁRIA'!C53</f>
        <v>GUARDA-CORPO, ALTURA 100CM, EM TUBO GALVANIZADO, COM COSTURA, DIÂMETRO 2", ESP. 3MM, GRADIL COM PERFIL CANTONEIRA (1"X1/8") E TELA QUADRICULADA ONDULADA, COM MALHA DE 25,4MM (1"), FIO 10 (3,40MM), CONFORME CADERNO DE PROJETO PADRÃO PENITENCIÁRIA-MG (DETALHE D42B), EXCLUSIVE INSTALAÇÃO E PINTURA (FORNECIMENTO/FABRICAÇÃO)</v>
      </c>
      <c r="D290" s="138" t="s">
        <v>54</v>
      </c>
      <c r="E290" s="138"/>
      <c r="F290" s="138"/>
      <c r="G290" s="138"/>
      <c r="H290" s="138"/>
      <c r="I290" s="138"/>
      <c r="J290" s="138"/>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row>
    <row r="291" spans="1:73" s="24" customFormat="1" ht="15.75" x14ac:dyDescent="0.25">
      <c r="A291" s="59" t="s">
        <v>17</v>
      </c>
      <c r="B291" s="59" t="s">
        <v>18</v>
      </c>
      <c r="C291" s="138"/>
      <c r="D291" s="138"/>
      <c r="E291" s="138"/>
      <c r="F291" s="138"/>
      <c r="G291" s="138"/>
      <c r="H291" s="138"/>
      <c r="I291" s="138"/>
      <c r="J291" s="138"/>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row>
    <row r="292" spans="1:73" s="24" customFormat="1" ht="15.75" x14ac:dyDescent="0.25">
      <c r="A292" s="139"/>
      <c r="B292" s="139"/>
      <c r="C292" s="108" t="s">
        <v>0</v>
      </c>
      <c r="D292" s="108" t="s">
        <v>20</v>
      </c>
      <c r="E292" s="108"/>
      <c r="F292" s="108" t="s">
        <v>22</v>
      </c>
      <c r="G292" s="108"/>
      <c r="H292" s="109"/>
      <c r="I292" s="108" t="s">
        <v>129</v>
      </c>
      <c r="J292" s="108" t="s">
        <v>24</v>
      </c>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row>
    <row r="293" spans="1:73" s="24" customFormat="1" ht="15.75" x14ac:dyDescent="0.25">
      <c r="A293" s="140" t="s">
        <v>128</v>
      </c>
      <c r="B293" s="140"/>
      <c r="C293" s="67" t="s">
        <v>130</v>
      </c>
      <c r="D293" s="68">
        <f>6.92+6.92</f>
        <v>13.84</v>
      </c>
      <c r="E293" s="68"/>
      <c r="F293" s="68">
        <v>1</v>
      </c>
      <c r="G293" s="108"/>
      <c r="H293" s="109"/>
      <c r="I293" s="68">
        <f>D293*F293</f>
        <v>13.84</v>
      </c>
      <c r="J293" s="139"/>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row>
    <row r="294" spans="1:73" s="24" customFormat="1" ht="15.75" x14ac:dyDescent="0.25">
      <c r="A294" s="142" t="s">
        <v>15</v>
      </c>
      <c r="B294" s="142"/>
      <c r="C294" s="142"/>
      <c r="D294" s="142"/>
      <c r="E294" s="142"/>
      <c r="F294" s="142"/>
      <c r="G294" s="142"/>
      <c r="H294" s="142"/>
      <c r="I294" s="80">
        <f>ROUND(SUM(I293:I293),2)</f>
        <v>13.84</v>
      </c>
      <c r="J294" s="139"/>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row>
    <row r="295" spans="1:73" s="22" customFormat="1" ht="15.75" x14ac:dyDescent="0.2">
      <c r="A295" s="118"/>
      <c r="B295" s="118"/>
      <c r="C295" s="118"/>
      <c r="D295" s="118"/>
      <c r="E295" s="118"/>
      <c r="F295" s="118"/>
      <c r="G295" s="118"/>
      <c r="H295" s="118"/>
      <c r="I295" s="118"/>
      <c r="J295" s="118"/>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row>
    <row r="296" spans="1:73" s="22" customFormat="1" ht="15.75" x14ac:dyDescent="0.2">
      <c r="A296" s="110" t="s">
        <v>338</v>
      </c>
      <c r="B296" s="145" t="s">
        <v>118</v>
      </c>
      <c r="C296" s="145"/>
      <c r="D296" s="145"/>
      <c r="E296" s="145"/>
      <c r="F296" s="145"/>
      <c r="G296" s="145"/>
      <c r="H296" s="145"/>
      <c r="I296" s="145"/>
      <c r="J296" s="145"/>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row>
    <row r="297" spans="1:73" s="22" customFormat="1" ht="31.5" x14ac:dyDescent="0.2">
      <c r="A297" s="57"/>
      <c r="B297" s="58" t="s">
        <v>16</v>
      </c>
      <c r="C297" s="138" t="str">
        <f>'PLANILHA ORÇAMENTÁRIA'!C55</f>
        <v>PORTA DE MADEIRA COMPLETA, DIMENSÃO (90X210)CM, TIPO DE ABRIR, UMA (1) FOLHA, ACABAMENTO NATURAL PARA PINTURA/VERNIZ, TIPO PRANCHETA/SARRAFEADA, COM PROTEÇÃO INFERIOR EM REVESTIMENTO DE LAMINADO MELAMÍNICO NAS DUAS (2) FACES, INCLUSIVE MARCO, ALIZAR E FERRAGENS, EXCLUSIVE PINTURA/VERNIZ</v>
      </c>
      <c r="D297" s="138"/>
      <c r="E297" s="138"/>
      <c r="F297" s="138"/>
      <c r="G297" s="138"/>
      <c r="H297" s="138"/>
      <c r="I297" s="138"/>
      <c r="J297" s="138"/>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row>
    <row r="298" spans="1:73" s="22" customFormat="1" ht="15.75" x14ac:dyDescent="0.2">
      <c r="A298" s="59" t="s">
        <v>17</v>
      </c>
      <c r="B298" s="59" t="s">
        <v>18</v>
      </c>
      <c r="C298" s="138"/>
      <c r="D298" s="138"/>
      <c r="E298" s="138"/>
      <c r="F298" s="138"/>
      <c r="G298" s="138"/>
      <c r="H298" s="138"/>
      <c r="I298" s="138"/>
      <c r="J298" s="138"/>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row>
    <row r="299" spans="1:73" s="22" customFormat="1" ht="15.75" x14ac:dyDescent="0.2">
      <c r="A299" s="139" t="s">
        <v>63</v>
      </c>
      <c r="B299" s="139"/>
      <c r="C299" s="108" t="s">
        <v>0</v>
      </c>
      <c r="D299" s="108" t="s">
        <v>22</v>
      </c>
      <c r="E299" s="108"/>
      <c r="F299" s="108"/>
      <c r="G299" s="108"/>
      <c r="H299" s="109"/>
      <c r="I299" s="108" t="s">
        <v>117</v>
      </c>
      <c r="J299" s="108" t="s">
        <v>24</v>
      </c>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row>
    <row r="300" spans="1:73" s="22" customFormat="1" ht="15.75" x14ac:dyDescent="0.25">
      <c r="A300" s="140" t="s">
        <v>91</v>
      </c>
      <c r="B300" s="140"/>
      <c r="C300" s="67" t="s">
        <v>61</v>
      </c>
      <c r="D300" s="68">
        <v>1</v>
      </c>
      <c r="E300" s="68"/>
      <c r="F300" s="83"/>
      <c r="G300" s="108"/>
      <c r="H300" s="109"/>
      <c r="I300" s="68">
        <f>ROUND(D300,2)</f>
        <v>1</v>
      </c>
      <c r="J300" s="139"/>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row>
    <row r="301" spans="1:73" s="22" customFormat="1" ht="15.75" x14ac:dyDescent="0.25">
      <c r="A301" s="140" t="s">
        <v>114</v>
      </c>
      <c r="B301" s="140"/>
      <c r="C301" s="67" t="s">
        <v>61</v>
      </c>
      <c r="D301" s="68">
        <v>1</v>
      </c>
      <c r="E301" s="68"/>
      <c r="F301" s="83"/>
      <c r="G301" s="108"/>
      <c r="H301" s="109"/>
      <c r="I301" s="68">
        <f t="shared" ref="I301:I303" si="43">ROUND(D301,2)</f>
        <v>1</v>
      </c>
      <c r="J301" s="139"/>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row>
    <row r="302" spans="1:73" s="22" customFormat="1" ht="15.75" x14ac:dyDescent="0.25">
      <c r="A302" s="140" t="s">
        <v>93</v>
      </c>
      <c r="B302" s="140"/>
      <c r="C302" s="67" t="s">
        <v>61</v>
      </c>
      <c r="D302" s="68">
        <v>1</v>
      </c>
      <c r="E302" s="68"/>
      <c r="F302" s="83"/>
      <c r="G302" s="108"/>
      <c r="H302" s="109"/>
      <c r="I302" s="68">
        <f t="shared" si="43"/>
        <v>1</v>
      </c>
      <c r="J302" s="139"/>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row>
    <row r="303" spans="1:73" s="22" customFormat="1" ht="15.75" x14ac:dyDescent="0.25">
      <c r="A303" s="140" t="s">
        <v>94</v>
      </c>
      <c r="B303" s="140"/>
      <c r="C303" s="67" t="s">
        <v>61</v>
      </c>
      <c r="D303" s="68">
        <v>1</v>
      </c>
      <c r="E303" s="68"/>
      <c r="F303" s="83"/>
      <c r="G303" s="108"/>
      <c r="H303" s="109"/>
      <c r="I303" s="68">
        <f t="shared" si="43"/>
        <v>1</v>
      </c>
      <c r="J303" s="139"/>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row>
    <row r="304" spans="1:73" s="22" customFormat="1" ht="15.75" x14ac:dyDescent="0.2">
      <c r="A304" s="142" t="s">
        <v>15</v>
      </c>
      <c r="B304" s="142"/>
      <c r="C304" s="142"/>
      <c r="D304" s="142"/>
      <c r="E304" s="142"/>
      <c r="F304" s="142"/>
      <c r="G304" s="142"/>
      <c r="H304" s="142"/>
      <c r="I304" s="80">
        <f>SUM(I300:I303)</f>
        <v>4</v>
      </c>
      <c r="J304" s="139"/>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row>
    <row r="305" spans="1:73" s="22" customFormat="1" ht="15.75" x14ac:dyDescent="0.2">
      <c r="A305" s="139"/>
      <c r="B305" s="139"/>
      <c r="C305" s="139"/>
      <c r="D305" s="139"/>
      <c r="E305" s="139"/>
      <c r="F305" s="139"/>
      <c r="G305" s="139"/>
      <c r="H305" s="139"/>
      <c r="I305" s="139"/>
      <c r="J305" s="139"/>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row>
    <row r="306" spans="1:73" s="22" customFormat="1" ht="31.5" x14ac:dyDescent="0.2">
      <c r="A306" s="57"/>
      <c r="B306" s="58" t="s">
        <v>16</v>
      </c>
      <c r="C306" s="138" t="str">
        <f>'PLANILHA ORÇAMENTÁRIA'!C56</f>
        <v>PORTA DE MADEIRA COMPLETA, DIMENSÃO (80X210)CM, TIPO DE ABRIR, UMA (1) FOLHA, ACABAMENTO NATURAL PARA PINTURA/VERNIZ, TIPO PRANCHETA/SARRAFEADA, INCLUSIVE MARCO, ALIZAR E FERRAGENS, EXCLUSIVE PINTURA/VERNIZ</v>
      </c>
      <c r="D306" s="138"/>
      <c r="E306" s="138"/>
      <c r="F306" s="138"/>
      <c r="G306" s="138"/>
      <c r="H306" s="138"/>
      <c r="I306" s="138"/>
      <c r="J306" s="138"/>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row>
    <row r="307" spans="1:73" s="22" customFormat="1" ht="15.75" x14ac:dyDescent="0.2">
      <c r="A307" s="59" t="s">
        <v>17</v>
      </c>
      <c r="B307" s="59" t="s">
        <v>18</v>
      </c>
      <c r="C307" s="138"/>
      <c r="D307" s="138"/>
      <c r="E307" s="138"/>
      <c r="F307" s="138"/>
      <c r="G307" s="138"/>
      <c r="H307" s="138"/>
      <c r="I307" s="138"/>
      <c r="J307" s="138"/>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row>
    <row r="308" spans="1:73" s="22" customFormat="1" ht="15.75" x14ac:dyDescent="0.2">
      <c r="A308" s="139" t="s">
        <v>63</v>
      </c>
      <c r="B308" s="139"/>
      <c r="C308" s="108" t="s">
        <v>0</v>
      </c>
      <c r="D308" s="108" t="s">
        <v>22</v>
      </c>
      <c r="E308" s="108"/>
      <c r="F308" s="108"/>
      <c r="G308" s="108"/>
      <c r="H308" s="109"/>
      <c r="I308" s="108" t="s">
        <v>117</v>
      </c>
      <c r="J308" s="108" t="s">
        <v>24</v>
      </c>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row>
    <row r="309" spans="1:73" s="22" customFormat="1" ht="15.75" x14ac:dyDescent="0.25">
      <c r="A309" s="140" t="s">
        <v>95</v>
      </c>
      <c r="B309" s="140"/>
      <c r="C309" s="67" t="s">
        <v>119</v>
      </c>
      <c r="D309" s="68">
        <v>1</v>
      </c>
      <c r="E309" s="68"/>
      <c r="F309" s="83"/>
      <c r="G309" s="108"/>
      <c r="H309" s="109"/>
      <c r="I309" s="68">
        <f>ROUND(D309,2)</f>
        <v>1</v>
      </c>
      <c r="J309" s="108"/>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row>
    <row r="310" spans="1:73" s="22" customFormat="1" ht="15.75" x14ac:dyDescent="0.2">
      <c r="A310" s="142" t="s">
        <v>15</v>
      </c>
      <c r="B310" s="142"/>
      <c r="C310" s="142"/>
      <c r="D310" s="142"/>
      <c r="E310" s="142"/>
      <c r="F310" s="142"/>
      <c r="G310" s="142"/>
      <c r="H310" s="142"/>
      <c r="I310" s="80">
        <f>SUM(I309:I309)</f>
        <v>1</v>
      </c>
      <c r="J310" s="108"/>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row>
    <row r="311" spans="1:73" s="22" customFormat="1" ht="15.75" x14ac:dyDescent="0.2">
      <c r="A311" s="139"/>
      <c r="B311" s="139"/>
      <c r="C311" s="139"/>
      <c r="D311" s="139"/>
      <c r="E311" s="139"/>
      <c r="F311" s="139"/>
      <c r="G311" s="139"/>
      <c r="H311" s="139"/>
      <c r="I311" s="139"/>
      <c r="J311" s="139"/>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row>
    <row r="312" spans="1:73" s="22" customFormat="1" ht="31.5" x14ac:dyDescent="0.2">
      <c r="A312" s="57"/>
      <c r="B312" s="58" t="s">
        <v>16</v>
      </c>
      <c r="C312" s="138" t="str">
        <f>'PLANILHA ORÇAMENTÁRIA'!C57</f>
        <v>JANELA PERFIL CANTONEIRA BASCULANTE 0,60 X 0,60 M, CONFORME DETALHE PADRÃO ESCOLAR 4/98 VERSÃO 2005</v>
      </c>
      <c r="D312" s="138" t="s">
        <v>56</v>
      </c>
      <c r="E312" s="138"/>
      <c r="F312" s="138"/>
      <c r="G312" s="138"/>
      <c r="H312" s="138"/>
      <c r="I312" s="138"/>
      <c r="J312" s="138"/>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row>
    <row r="313" spans="1:73" s="22" customFormat="1" ht="15.75" x14ac:dyDescent="0.2">
      <c r="A313" s="59" t="s">
        <v>17</v>
      </c>
      <c r="B313" s="59" t="s">
        <v>18</v>
      </c>
      <c r="C313" s="138"/>
      <c r="D313" s="138"/>
      <c r="E313" s="138"/>
      <c r="F313" s="138"/>
      <c r="G313" s="138"/>
      <c r="H313" s="138"/>
      <c r="I313" s="138"/>
      <c r="J313" s="138"/>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row>
    <row r="314" spans="1:73" s="24" customFormat="1" ht="15.75" x14ac:dyDescent="0.25">
      <c r="A314" s="139"/>
      <c r="B314" s="139"/>
      <c r="C314" s="108" t="s">
        <v>0</v>
      </c>
      <c r="D314" s="108"/>
      <c r="E314" s="108"/>
      <c r="F314" s="108"/>
      <c r="G314" s="108"/>
      <c r="H314" s="108" t="s">
        <v>22</v>
      </c>
      <c r="I314" s="108" t="s">
        <v>188</v>
      </c>
      <c r="J314" s="108" t="s">
        <v>24</v>
      </c>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row>
    <row r="315" spans="1:73" s="22" customFormat="1" ht="15.75" x14ac:dyDescent="0.25">
      <c r="A315" s="140" t="s">
        <v>545</v>
      </c>
      <c r="B315" s="140"/>
      <c r="C315" s="67"/>
      <c r="D315" s="68"/>
      <c r="E315" s="68"/>
      <c r="F315" s="84"/>
      <c r="G315" s="108"/>
      <c r="H315" s="84">
        <v>4</v>
      </c>
      <c r="I315" s="68">
        <f>H315</f>
        <v>4</v>
      </c>
      <c r="J315" s="139"/>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row>
    <row r="316" spans="1:73" s="24" customFormat="1" ht="15.75" x14ac:dyDescent="0.25">
      <c r="A316" s="142" t="s">
        <v>15</v>
      </c>
      <c r="B316" s="142"/>
      <c r="C316" s="142"/>
      <c r="D316" s="142"/>
      <c r="E316" s="142"/>
      <c r="F316" s="142"/>
      <c r="G316" s="142"/>
      <c r="H316" s="142"/>
      <c r="I316" s="80">
        <f>ROUND(SUM(I315:I315),2)</f>
        <v>4</v>
      </c>
      <c r="J316" s="139"/>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row>
    <row r="317" spans="1:73" s="19" customFormat="1" ht="15.75" x14ac:dyDescent="0.25">
      <c r="A317" s="139"/>
      <c r="B317" s="139"/>
      <c r="C317" s="139"/>
      <c r="D317" s="139"/>
      <c r="E317" s="139"/>
      <c r="F317" s="139"/>
      <c r="G317" s="139"/>
      <c r="H317" s="139"/>
      <c r="I317" s="139"/>
      <c r="J317" s="139"/>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31"/>
      <c r="AX317" s="32"/>
    </row>
    <row r="318" spans="1:73" s="22" customFormat="1" ht="31.5" x14ac:dyDescent="0.2">
      <c r="A318" s="57"/>
      <c r="B318" s="58" t="s">
        <v>16</v>
      </c>
      <c r="C318" s="138" t="str">
        <f>'PLANILHA ORÇAMENTÁRIA'!C58</f>
        <v>FORNECIMENTO DE JANELA DE CORRER EM METALON, INCLUSIVE ASSENTAMENTO, FERRAGENS E ACESSÓRIOS</v>
      </c>
      <c r="D318" s="138" t="s">
        <v>56</v>
      </c>
      <c r="E318" s="138"/>
      <c r="F318" s="138"/>
      <c r="G318" s="138"/>
      <c r="H318" s="138"/>
      <c r="I318" s="138"/>
      <c r="J318" s="138"/>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row>
    <row r="319" spans="1:73" s="22" customFormat="1" ht="15.75" x14ac:dyDescent="0.2">
      <c r="A319" s="59" t="s">
        <v>17</v>
      </c>
      <c r="B319" s="59" t="s">
        <v>18</v>
      </c>
      <c r="C319" s="138"/>
      <c r="D319" s="138"/>
      <c r="E319" s="138"/>
      <c r="F319" s="138"/>
      <c r="G319" s="138"/>
      <c r="H319" s="138"/>
      <c r="I319" s="138"/>
      <c r="J319" s="138"/>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row>
    <row r="320" spans="1:73" s="24" customFormat="1" ht="15.75" x14ac:dyDescent="0.25">
      <c r="A320" s="139"/>
      <c r="B320" s="139"/>
      <c r="C320" s="108" t="s">
        <v>0</v>
      </c>
      <c r="D320" s="108" t="s">
        <v>41</v>
      </c>
      <c r="E320" s="108" t="s">
        <v>21</v>
      </c>
      <c r="F320" s="108"/>
      <c r="G320" s="108"/>
      <c r="H320" s="108" t="s">
        <v>22</v>
      </c>
      <c r="I320" s="108" t="s">
        <v>23</v>
      </c>
      <c r="J320" s="108" t="s">
        <v>24</v>
      </c>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row>
    <row r="321" spans="1:73" s="22" customFormat="1" ht="15.75" x14ac:dyDescent="0.25">
      <c r="A321" s="171" t="s">
        <v>115</v>
      </c>
      <c r="B321" s="171"/>
      <c r="C321" s="67"/>
      <c r="D321" s="68">
        <v>1.2</v>
      </c>
      <c r="E321" s="68">
        <v>1.1000000000000001</v>
      </c>
      <c r="F321" s="84"/>
      <c r="G321" s="108"/>
      <c r="H321" s="84">
        <v>2</v>
      </c>
      <c r="I321" s="68">
        <f>ROUND(SUM(D321*E321*H321),2)</f>
        <v>2.64</v>
      </c>
      <c r="J321" s="70"/>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row>
    <row r="322" spans="1:73" s="24" customFormat="1" ht="15.75" x14ac:dyDescent="0.25">
      <c r="A322" s="70" t="s">
        <v>15</v>
      </c>
      <c r="B322" s="70"/>
      <c r="C322" s="70"/>
      <c r="D322" s="70"/>
      <c r="E322" s="70"/>
      <c r="F322" s="70"/>
      <c r="G322" s="70"/>
      <c r="H322" s="70"/>
      <c r="I322" s="80">
        <f>ROUND(SUM(I321:I321),2)</f>
        <v>2.64</v>
      </c>
      <c r="J322" s="70"/>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row>
    <row r="323" spans="1:73" s="19" customFormat="1" ht="15.75" x14ac:dyDescent="0.25">
      <c r="A323" s="139"/>
      <c r="B323" s="139"/>
      <c r="C323" s="139"/>
      <c r="D323" s="139"/>
      <c r="E323" s="139"/>
      <c r="F323" s="139"/>
      <c r="G323" s="139"/>
      <c r="H323" s="139"/>
      <c r="I323" s="139"/>
      <c r="J323" s="139"/>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31"/>
      <c r="AX323" s="32"/>
    </row>
    <row r="324" spans="1:73" s="12" customFormat="1" ht="15.75" x14ac:dyDescent="0.25">
      <c r="A324" s="110" t="s">
        <v>352</v>
      </c>
      <c r="B324" s="145" t="s">
        <v>14</v>
      </c>
      <c r="C324" s="145"/>
      <c r="D324" s="145"/>
      <c r="E324" s="145"/>
      <c r="F324" s="145"/>
      <c r="G324" s="145"/>
      <c r="H324" s="145"/>
      <c r="I324" s="145"/>
      <c r="J324" s="145"/>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6"/>
      <c r="AX324" s="10"/>
    </row>
    <row r="325" spans="1:73" s="7" customFormat="1" ht="31.5" x14ac:dyDescent="0.25">
      <c r="A325" s="57"/>
      <c r="B325" s="58" t="s">
        <v>16</v>
      </c>
      <c r="C325" s="146" t="str">
        <f>'PLANILHA ORÇAMENTÁRIA'!C60</f>
        <v>PINTURA ACRÍLICA EM PAREDE, DUAS (2) DEMÃOS, COM APLICAÇÃO MANUAL, EXCLUSIVE SELADOR ACRÍLICO E MASSA ACRÍLICA/CORRIDA (PVA)</v>
      </c>
      <c r="D325" s="146"/>
      <c r="E325" s="146"/>
      <c r="F325" s="146"/>
      <c r="G325" s="146"/>
      <c r="H325" s="146"/>
      <c r="I325" s="146"/>
      <c r="J325" s="146"/>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6"/>
    </row>
    <row r="326" spans="1:73" s="7" customFormat="1" ht="15.75" x14ac:dyDescent="0.25">
      <c r="A326" s="151" t="s">
        <v>40</v>
      </c>
      <c r="B326" s="151"/>
      <c r="C326" s="106" t="s">
        <v>0</v>
      </c>
      <c r="D326" s="108" t="s">
        <v>20</v>
      </c>
      <c r="E326" s="108" t="s">
        <v>42</v>
      </c>
      <c r="F326" s="108" t="s">
        <v>57</v>
      </c>
      <c r="G326" s="108"/>
      <c r="H326" s="108" t="s">
        <v>151</v>
      </c>
      <c r="I326" s="108" t="s">
        <v>23</v>
      </c>
      <c r="J326" s="106" t="s">
        <v>24</v>
      </c>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6"/>
    </row>
    <row r="327" spans="1:73" s="7" customFormat="1" ht="15.75" x14ac:dyDescent="0.25">
      <c r="A327" s="141" t="s">
        <v>547</v>
      </c>
      <c r="B327" s="141"/>
      <c r="C327" s="77" t="s">
        <v>546</v>
      </c>
      <c r="D327" s="77">
        <f>13.1+13.1+3.8+3.8+3.44*4+2*2</f>
        <v>51.559999999999995</v>
      </c>
      <c r="E327" s="77">
        <v>3</v>
      </c>
      <c r="F327" s="77">
        <v>1</v>
      </c>
      <c r="G327" s="106"/>
      <c r="H327" s="77">
        <v>1</v>
      </c>
      <c r="I327" s="77">
        <f t="shared" ref="I327:I328" si="44">ROUND(SUM(E327*D327*H327*F327),2)</f>
        <v>154.68</v>
      </c>
      <c r="J327" s="175"/>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6"/>
    </row>
    <row r="328" spans="1:73" s="7" customFormat="1" ht="31.5" x14ac:dyDescent="0.25">
      <c r="A328" s="170" t="s">
        <v>548</v>
      </c>
      <c r="B328" s="170"/>
      <c r="C328" s="77" t="s">
        <v>549</v>
      </c>
      <c r="D328" s="77">
        <f>5.8+8.5+8.5+2.26+2.26+6.9+6.9+2.6+2.6+2.6+13.1</f>
        <v>62.02</v>
      </c>
      <c r="E328" s="77">
        <v>0.6</v>
      </c>
      <c r="F328" s="77">
        <v>1</v>
      </c>
      <c r="G328" s="106"/>
      <c r="H328" s="77">
        <v>1</v>
      </c>
      <c r="I328" s="77">
        <f t="shared" si="44"/>
        <v>37.21</v>
      </c>
      <c r="J328" s="175"/>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6"/>
    </row>
    <row r="329" spans="1:73" s="7" customFormat="1" ht="15.75" x14ac:dyDescent="0.25">
      <c r="A329" s="142" t="s">
        <v>15</v>
      </c>
      <c r="B329" s="142"/>
      <c r="C329" s="142"/>
      <c r="D329" s="142"/>
      <c r="E329" s="142"/>
      <c r="F329" s="142"/>
      <c r="G329" s="142"/>
      <c r="H329" s="142"/>
      <c r="I329" s="72">
        <f>SUM(I327:I328)</f>
        <v>191.89000000000001</v>
      </c>
      <c r="J329" s="175"/>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6"/>
    </row>
    <row r="330" spans="1:73" s="7" customFormat="1" ht="15.75" x14ac:dyDescent="0.25">
      <c r="A330" s="139"/>
      <c r="B330" s="139"/>
      <c r="C330" s="139"/>
      <c r="D330" s="139"/>
      <c r="E330" s="139"/>
      <c r="F330" s="139"/>
      <c r="G330" s="139"/>
      <c r="H330" s="139"/>
      <c r="I330" s="139"/>
      <c r="J330" s="139"/>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6"/>
    </row>
    <row r="331" spans="1:73" s="18" customFormat="1" ht="31.5" x14ac:dyDescent="0.25">
      <c r="A331" s="57"/>
      <c r="B331" s="58" t="s">
        <v>16</v>
      </c>
      <c r="C331" s="146" t="str">
        <f>'PLANILHA ORÇAMENTÁRIA'!C61</f>
        <v>PINTURA ESMALTE BASE SOLVENTE EM ESQUADRIA DE MADEIRA, DUAS (2) DEMÃOS, COM APLICAÇÃO MANUAL, INCLUSIVE UMA (1) DEMÃO DE FUNDO NIVELADOR E PREPARAÇÃO DA SUPERFÍCIE COM LIXAMENTO, EXCLUSIVE MASSA A ÓLEO</v>
      </c>
      <c r="D331" s="146"/>
      <c r="E331" s="146"/>
      <c r="F331" s="146"/>
      <c r="G331" s="146"/>
      <c r="H331" s="146"/>
      <c r="I331" s="146"/>
      <c r="J331" s="146"/>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row>
    <row r="332" spans="1:73" s="12" customFormat="1" ht="15.75" x14ac:dyDescent="0.25">
      <c r="A332" s="151" t="s">
        <v>40</v>
      </c>
      <c r="B332" s="151"/>
      <c r="C332" s="104" t="s">
        <v>19</v>
      </c>
      <c r="D332" s="108" t="s">
        <v>20</v>
      </c>
      <c r="E332" s="108" t="s">
        <v>42</v>
      </c>
      <c r="F332" s="108" t="s">
        <v>57</v>
      </c>
      <c r="G332" s="108"/>
      <c r="H332" s="108" t="s">
        <v>151</v>
      </c>
      <c r="I332" s="108" t="s">
        <v>23</v>
      </c>
      <c r="J332" s="108" t="s">
        <v>24</v>
      </c>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6"/>
      <c r="AX332" s="10"/>
    </row>
    <row r="333" spans="1:73" s="25" customFormat="1" ht="15.75" x14ac:dyDescent="0.25">
      <c r="A333" s="141" t="s">
        <v>103</v>
      </c>
      <c r="B333" s="141"/>
      <c r="C333" s="78" t="s">
        <v>62</v>
      </c>
      <c r="D333" s="77">
        <v>0.9</v>
      </c>
      <c r="E333" s="77">
        <v>2.1</v>
      </c>
      <c r="F333" s="77">
        <v>2</v>
      </c>
      <c r="G333" s="106"/>
      <c r="H333" s="77">
        <v>4</v>
      </c>
      <c r="I333" s="77">
        <f t="shared" ref="I333:I334" si="45">ROUND(SUM(E333*D333*H333*F333),2)</f>
        <v>15.12</v>
      </c>
      <c r="J333" s="139"/>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6"/>
    </row>
    <row r="334" spans="1:73" s="25" customFormat="1" ht="15.75" x14ac:dyDescent="0.25">
      <c r="A334" s="141" t="s">
        <v>104</v>
      </c>
      <c r="B334" s="141"/>
      <c r="C334" s="78" t="s">
        <v>121</v>
      </c>
      <c r="D334" s="77">
        <v>0.8</v>
      </c>
      <c r="E334" s="77">
        <v>2.1</v>
      </c>
      <c r="F334" s="77">
        <v>2</v>
      </c>
      <c r="G334" s="106"/>
      <c r="H334" s="77">
        <v>1</v>
      </c>
      <c r="I334" s="77">
        <f t="shared" si="45"/>
        <v>3.36</v>
      </c>
      <c r="J334" s="139"/>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6"/>
    </row>
    <row r="335" spans="1:73" s="24" customFormat="1" ht="15.75" x14ac:dyDescent="0.25">
      <c r="A335" s="142" t="s">
        <v>15</v>
      </c>
      <c r="B335" s="142"/>
      <c r="C335" s="142"/>
      <c r="D335" s="142"/>
      <c r="E335" s="142"/>
      <c r="F335" s="142"/>
      <c r="G335" s="142"/>
      <c r="H335" s="142"/>
      <c r="I335" s="72">
        <f>ROUND(SUM(SUM(I333:I334)),2)</f>
        <v>18.48</v>
      </c>
      <c r="J335" s="139"/>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row>
    <row r="336" spans="1:73" s="24" customFormat="1" ht="15.75" x14ac:dyDescent="0.25">
      <c r="A336" s="118"/>
      <c r="B336" s="118"/>
      <c r="C336" s="118"/>
      <c r="D336" s="118"/>
      <c r="E336" s="118"/>
      <c r="F336" s="118"/>
      <c r="G336" s="118"/>
      <c r="H336" s="118"/>
      <c r="I336" s="118"/>
      <c r="J336" s="118"/>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row>
    <row r="337" spans="1:48" s="24" customFormat="1" ht="15.75" x14ac:dyDescent="0.25">
      <c r="A337" s="110" t="s">
        <v>359</v>
      </c>
      <c r="B337" s="145" t="s">
        <v>131</v>
      </c>
      <c r="C337" s="145"/>
      <c r="D337" s="145"/>
      <c r="E337" s="145"/>
      <c r="F337" s="145"/>
      <c r="G337" s="145"/>
      <c r="H337" s="145"/>
      <c r="I337" s="145"/>
      <c r="J337" s="145"/>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row>
    <row r="338" spans="1:48" s="24" customFormat="1" ht="31.5" x14ac:dyDescent="0.25">
      <c r="A338" s="57"/>
      <c r="B338" s="58" t="s">
        <v>16</v>
      </c>
      <c r="C338" s="146" t="str">
        <f>'PLANILHA ORÇAMENTÁRIA'!C63</f>
        <v>FORRO EM RÉGUA DE PVC, LARGURA 20CM, NA COR BRANCA, INCLUSIVE ESTRUTURA DE FIXAÇÃO E PENDURAIS METÁLICOS E ACESSÓRIOS DE FIXAÇÃO, EXCLUSIVE RODAFORRO OU MOLDURA</v>
      </c>
      <c r="D338" s="146"/>
      <c r="E338" s="146"/>
      <c r="F338" s="146"/>
      <c r="G338" s="146"/>
      <c r="H338" s="146"/>
      <c r="I338" s="146"/>
      <c r="J338" s="146"/>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row>
    <row r="339" spans="1:48" s="24" customFormat="1" ht="15.75" x14ac:dyDescent="0.25">
      <c r="A339" s="151" t="s">
        <v>40</v>
      </c>
      <c r="B339" s="151"/>
      <c r="C339" s="106" t="s">
        <v>0</v>
      </c>
      <c r="D339" s="106" t="s">
        <v>53</v>
      </c>
      <c r="E339" s="106"/>
      <c r="F339" s="106"/>
      <c r="G339" s="106"/>
      <c r="H339" s="106"/>
      <c r="I339" s="106" t="s">
        <v>23</v>
      </c>
      <c r="J339" s="106" t="s">
        <v>24</v>
      </c>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row>
    <row r="340" spans="1:48" s="24" customFormat="1" ht="15.75" x14ac:dyDescent="0.25">
      <c r="A340" s="141" t="s">
        <v>94</v>
      </c>
      <c r="B340" s="141"/>
      <c r="C340" s="77"/>
      <c r="D340" s="77">
        <v>8.9600000000000009</v>
      </c>
      <c r="E340" s="77"/>
      <c r="F340" s="77"/>
      <c r="G340" s="77"/>
      <c r="H340" s="77"/>
      <c r="I340" s="77">
        <f t="shared" ref="I340:I341" si="46">(D340)</f>
        <v>8.9600000000000009</v>
      </c>
      <c r="J340" s="106"/>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row>
    <row r="341" spans="1:48" s="24" customFormat="1" ht="15.75" x14ac:dyDescent="0.25">
      <c r="A341" s="141" t="s">
        <v>95</v>
      </c>
      <c r="B341" s="141"/>
      <c r="C341" s="77"/>
      <c r="D341" s="77">
        <v>6.88</v>
      </c>
      <c r="E341" s="77"/>
      <c r="F341" s="77"/>
      <c r="G341" s="77"/>
      <c r="H341" s="77"/>
      <c r="I341" s="77">
        <f t="shared" si="46"/>
        <v>6.88</v>
      </c>
      <c r="J341" s="106"/>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row>
    <row r="342" spans="1:48" s="24" customFormat="1" ht="15.75" x14ac:dyDescent="0.25">
      <c r="A342" s="142" t="s">
        <v>15</v>
      </c>
      <c r="B342" s="142"/>
      <c r="C342" s="142"/>
      <c r="D342" s="142"/>
      <c r="E342" s="142"/>
      <c r="F342" s="142"/>
      <c r="G342" s="142"/>
      <c r="H342" s="142"/>
      <c r="I342" s="72">
        <f>ROUND(SUM(I340:I341),2)</f>
        <v>15.84</v>
      </c>
      <c r="J342" s="106"/>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row>
    <row r="343" spans="1:48" s="24" customFormat="1" ht="15.75" x14ac:dyDescent="0.25">
      <c r="A343" s="118"/>
      <c r="B343" s="118"/>
      <c r="C343" s="118"/>
      <c r="D343" s="118"/>
      <c r="E343" s="118"/>
      <c r="F343" s="118"/>
      <c r="G343" s="118"/>
      <c r="H343" s="118"/>
      <c r="I343" s="118"/>
      <c r="J343" s="118"/>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row>
    <row r="344" spans="1:48" s="24" customFormat="1" ht="31.5" x14ac:dyDescent="0.25">
      <c r="A344" s="57"/>
      <c r="B344" s="58" t="s">
        <v>16</v>
      </c>
      <c r="C344" s="146" t="str">
        <f>'PLANILHA ORÇAMENTÁRIA'!C64</f>
        <v>ENGRADAMENTO EM MADEIRA PARAJU OU EQUIVALENTE, PARA TELHAS CERÂMICAS OU DE CONCRETO, EXCLUSIVE TELHAS</v>
      </c>
      <c r="D344" s="146"/>
      <c r="E344" s="146"/>
      <c r="F344" s="146"/>
      <c r="G344" s="146"/>
      <c r="H344" s="146"/>
      <c r="I344" s="146"/>
      <c r="J344" s="146"/>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row>
    <row r="345" spans="1:48" s="24" customFormat="1" ht="15.75" x14ac:dyDescent="0.25">
      <c r="A345" s="151" t="s">
        <v>40</v>
      </c>
      <c r="B345" s="151"/>
      <c r="C345" s="106" t="s">
        <v>0</v>
      </c>
      <c r="D345" s="108" t="s">
        <v>20</v>
      </c>
      <c r="E345" s="108" t="s">
        <v>21</v>
      </c>
      <c r="F345" s="106"/>
      <c r="G345" s="106"/>
      <c r="H345" s="106"/>
      <c r="I345" s="106" t="s">
        <v>23</v>
      </c>
      <c r="J345" s="106" t="s">
        <v>24</v>
      </c>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row>
    <row r="346" spans="1:48" s="24" customFormat="1" ht="15.75" x14ac:dyDescent="0.25">
      <c r="A346" s="141" t="s">
        <v>131</v>
      </c>
      <c r="B346" s="141"/>
      <c r="C346" s="77"/>
      <c r="D346" s="77">
        <v>13.06</v>
      </c>
      <c r="E346" s="77">
        <v>5.98</v>
      </c>
      <c r="F346" s="77"/>
      <c r="G346" s="77"/>
      <c r="H346" s="77"/>
      <c r="I346" s="77">
        <f>(D346*E346)</f>
        <v>78.098800000000011</v>
      </c>
      <c r="J346" s="15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row>
    <row r="347" spans="1:48" s="24" customFormat="1" ht="15.75" x14ac:dyDescent="0.25">
      <c r="A347" s="141" t="s">
        <v>131</v>
      </c>
      <c r="B347" s="141"/>
      <c r="C347" s="77"/>
      <c r="D347" s="77">
        <v>7.7</v>
      </c>
      <c r="E347" s="77">
        <v>4.58</v>
      </c>
      <c r="F347" s="77"/>
      <c r="G347" s="77"/>
      <c r="H347" s="77"/>
      <c r="I347" s="77">
        <f t="shared" ref="I347:I348" si="47">(D347*E347)</f>
        <v>35.265999999999998</v>
      </c>
      <c r="J347" s="15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row>
    <row r="348" spans="1:48" s="24" customFormat="1" ht="15.75" x14ac:dyDescent="0.25">
      <c r="A348" s="141" t="s">
        <v>131</v>
      </c>
      <c r="B348" s="141"/>
      <c r="C348" s="77"/>
      <c r="D348" s="77">
        <v>7.86</v>
      </c>
      <c r="E348" s="77">
        <v>4.58</v>
      </c>
      <c r="F348" s="77"/>
      <c r="G348" s="77"/>
      <c r="H348" s="77"/>
      <c r="I348" s="77">
        <f t="shared" si="47"/>
        <v>35.998800000000003</v>
      </c>
      <c r="J348" s="15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row>
    <row r="349" spans="1:48" s="24" customFormat="1" ht="15.75" x14ac:dyDescent="0.25">
      <c r="A349" s="142" t="s">
        <v>15</v>
      </c>
      <c r="B349" s="142"/>
      <c r="C349" s="142"/>
      <c r="D349" s="142"/>
      <c r="E349" s="142"/>
      <c r="F349" s="142"/>
      <c r="G349" s="142"/>
      <c r="H349" s="142"/>
      <c r="I349" s="72">
        <f>ROUND(SUM(I346:I348),2)</f>
        <v>149.36000000000001</v>
      </c>
      <c r="J349" s="15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row>
    <row r="350" spans="1:48" s="24" customFormat="1" ht="15.75" x14ac:dyDescent="0.25">
      <c r="A350" s="118"/>
      <c r="B350" s="118"/>
      <c r="C350" s="118"/>
      <c r="D350" s="118"/>
      <c r="E350" s="118"/>
      <c r="F350" s="118"/>
      <c r="G350" s="118"/>
      <c r="H350" s="118"/>
      <c r="I350" s="118"/>
      <c r="J350" s="118"/>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row>
    <row r="351" spans="1:48" s="24" customFormat="1" ht="31.5" x14ac:dyDescent="0.25">
      <c r="A351" s="57"/>
      <c r="B351" s="58" t="s">
        <v>16</v>
      </c>
      <c r="C351" s="146" t="str">
        <f>'PLANILHA ORÇAMENTÁRIA'!C65</f>
        <v>COBERTURA EM TELHA CERÂMICA, TIPO FRANCESA, INCLUSIVE FIXAÇÃO, EXCLUSIVE ENGRADAMENTO E MANTA ISOLANTE/TÉRMICA</v>
      </c>
      <c r="D351" s="146"/>
      <c r="E351" s="146"/>
      <c r="F351" s="146"/>
      <c r="G351" s="146"/>
      <c r="H351" s="146"/>
      <c r="I351" s="146"/>
      <c r="J351" s="146"/>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row>
    <row r="352" spans="1:48" s="24" customFormat="1" ht="15.75" x14ac:dyDescent="0.25">
      <c r="A352" s="151" t="s">
        <v>40</v>
      </c>
      <c r="B352" s="151"/>
      <c r="C352" s="106" t="s">
        <v>0</v>
      </c>
      <c r="D352" s="108" t="s">
        <v>49</v>
      </c>
      <c r="E352" s="108"/>
      <c r="F352" s="106"/>
      <c r="G352" s="106"/>
      <c r="H352" s="106"/>
      <c r="I352" s="106" t="s">
        <v>23</v>
      </c>
      <c r="J352" s="106" t="s">
        <v>24</v>
      </c>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row>
    <row r="353" spans="1:48" s="24" customFormat="1" ht="15.75" x14ac:dyDescent="0.25">
      <c r="A353" s="141" t="s">
        <v>132</v>
      </c>
      <c r="B353" s="141"/>
      <c r="C353" s="77"/>
      <c r="D353" s="77">
        <f>I349</f>
        <v>149.36000000000001</v>
      </c>
      <c r="E353" s="77"/>
      <c r="F353" s="77"/>
      <c r="G353" s="77"/>
      <c r="H353" s="77"/>
      <c r="I353" s="77">
        <f>D353</f>
        <v>149.36000000000001</v>
      </c>
      <c r="J353" s="175"/>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row>
    <row r="354" spans="1:48" s="24" customFormat="1" ht="15.75" x14ac:dyDescent="0.25">
      <c r="A354" s="142" t="s">
        <v>15</v>
      </c>
      <c r="B354" s="142"/>
      <c r="C354" s="142"/>
      <c r="D354" s="142"/>
      <c r="E354" s="142"/>
      <c r="F354" s="142"/>
      <c r="G354" s="142"/>
      <c r="H354" s="142"/>
      <c r="I354" s="72">
        <f>SUM(I353:I353)</f>
        <v>149.36000000000001</v>
      </c>
      <c r="J354" s="175"/>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row>
    <row r="355" spans="1:48" s="24" customFormat="1" ht="15.75" x14ac:dyDescent="0.25">
      <c r="A355" s="118"/>
      <c r="B355" s="118"/>
      <c r="C355" s="118"/>
      <c r="D355" s="118"/>
      <c r="E355" s="118"/>
      <c r="F355" s="118"/>
      <c r="G355" s="118"/>
      <c r="H355" s="118"/>
      <c r="I355" s="118"/>
      <c r="J355" s="118"/>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row>
    <row r="356" spans="1:48" s="24" customFormat="1" ht="31.5" x14ac:dyDescent="0.25">
      <c r="A356" s="57"/>
      <c r="B356" s="58" t="s">
        <v>16</v>
      </c>
      <c r="C356" s="146" t="str">
        <f>'PLANILHA ORÇAMENTÁRIA'!C66</f>
        <v xml:space="preserve">	CALHA EM CHAPA GALVANIZADA, ESP. 0,5MM (GSG-26), COM DESENVOLVIMENTO DE 50CM, INCLUSIVE IÇAMENTO MANUAL VERTICAL</v>
      </c>
      <c r="D356" s="146"/>
      <c r="E356" s="146"/>
      <c r="F356" s="146"/>
      <c r="G356" s="146"/>
      <c r="H356" s="146"/>
      <c r="I356" s="146"/>
      <c r="J356" s="146"/>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row>
    <row r="357" spans="1:48" s="24" customFormat="1" ht="15.75" x14ac:dyDescent="0.25">
      <c r="A357" s="151" t="s">
        <v>40</v>
      </c>
      <c r="B357" s="151"/>
      <c r="C357" s="106" t="s">
        <v>0</v>
      </c>
      <c r="D357" s="108" t="s">
        <v>20</v>
      </c>
      <c r="E357" s="108"/>
      <c r="F357" s="106"/>
      <c r="G357" s="106"/>
      <c r="H357" s="106"/>
      <c r="I357" s="106" t="s">
        <v>585</v>
      </c>
      <c r="J357" s="106" t="s">
        <v>24</v>
      </c>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row>
    <row r="358" spans="1:48" s="24" customFormat="1" ht="15.75" x14ac:dyDescent="0.25">
      <c r="A358" s="141" t="s">
        <v>132</v>
      </c>
      <c r="B358" s="141"/>
      <c r="C358" s="77"/>
      <c r="D358" s="77">
        <f>8.5+7.9+7.8</f>
        <v>24.2</v>
      </c>
      <c r="E358" s="77"/>
      <c r="F358" s="77"/>
      <c r="G358" s="77"/>
      <c r="H358" s="77"/>
      <c r="I358" s="77">
        <f>D358</f>
        <v>24.2</v>
      </c>
      <c r="J358" s="175"/>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row>
    <row r="359" spans="1:48" s="24" customFormat="1" ht="15.75" x14ac:dyDescent="0.25">
      <c r="A359" s="142" t="s">
        <v>15</v>
      </c>
      <c r="B359" s="142"/>
      <c r="C359" s="142"/>
      <c r="D359" s="142"/>
      <c r="E359" s="142"/>
      <c r="F359" s="142"/>
      <c r="G359" s="142"/>
      <c r="H359" s="142"/>
      <c r="I359" s="72">
        <f>SUM(I358:I358)</f>
        <v>24.2</v>
      </c>
      <c r="J359" s="175"/>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row>
    <row r="360" spans="1:48" s="24" customFormat="1" ht="15.75" x14ac:dyDescent="0.25">
      <c r="A360" s="118"/>
      <c r="B360" s="118"/>
      <c r="C360" s="118"/>
      <c r="D360" s="118"/>
      <c r="E360" s="118"/>
      <c r="F360" s="118"/>
      <c r="G360" s="118"/>
      <c r="H360" s="118"/>
      <c r="I360" s="118"/>
      <c r="J360" s="118"/>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row>
    <row r="361" spans="1:48" s="24" customFormat="1" ht="15.75" x14ac:dyDescent="0.25">
      <c r="A361" s="110" t="s">
        <v>3</v>
      </c>
      <c r="B361" s="165" t="s">
        <v>133</v>
      </c>
      <c r="C361" s="165"/>
      <c r="D361" s="165"/>
      <c r="E361" s="165"/>
      <c r="F361" s="165"/>
      <c r="G361" s="165"/>
      <c r="H361" s="165"/>
      <c r="I361" s="165"/>
      <c r="J361" s="165"/>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row>
    <row r="362" spans="1:48" s="24" customFormat="1" ht="15.75" x14ac:dyDescent="0.25">
      <c r="A362" s="110" t="s">
        <v>65</v>
      </c>
      <c r="B362" s="165" t="s">
        <v>586</v>
      </c>
      <c r="C362" s="165"/>
      <c r="D362" s="165"/>
      <c r="E362" s="165"/>
      <c r="F362" s="165"/>
      <c r="G362" s="165"/>
      <c r="H362" s="165"/>
      <c r="I362" s="165"/>
      <c r="J362" s="165"/>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row>
    <row r="363" spans="1:48" s="24" customFormat="1" ht="31.5" x14ac:dyDescent="0.25">
      <c r="A363" s="57"/>
      <c r="B363" s="58" t="s">
        <v>16</v>
      </c>
      <c r="C363" s="172" t="str">
        <f>'PLANILHA ORÇAMENTÁRIA'!C69</f>
        <v>REMOÇÃO DE LOUÇAS (LAVATÓRIO, BANHEIRA, PIA, VASO SANITÁRIO, TANQUE), COM REAPROVEITAMENTO, INCLUSIVE AFASTAMENTO E EMPILHAMENTO, EXCLUSIVE TRANSPORTE E RETIRADA DO MATERIAL REMOVIDO NÃO REAPROVEITÁVEL</v>
      </c>
      <c r="D363" s="172"/>
      <c r="E363" s="172"/>
      <c r="F363" s="172"/>
      <c r="G363" s="172"/>
      <c r="H363" s="172"/>
      <c r="I363" s="172"/>
      <c r="J363" s="172"/>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row>
    <row r="364" spans="1:48" s="24" customFormat="1" ht="15.75" x14ac:dyDescent="0.25">
      <c r="A364" s="173" t="s">
        <v>40</v>
      </c>
      <c r="B364" s="173"/>
      <c r="C364" s="172"/>
      <c r="D364" s="172"/>
      <c r="E364" s="172"/>
      <c r="F364" s="172"/>
      <c r="G364" s="172"/>
      <c r="H364" s="172"/>
      <c r="I364" s="172"/>
      <c r="J364" s="172"/>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row>
    <row r="365" spans="1:48" s="24" customFormat="1" ht="15.75" x14ac:dyDescent="0.25">
      <c r="A365" s="118" t="s">
        <v>48</v>
      </c>
      <c r="B365" s="118"/>
      <c r="C365" s="104" t="s">
        <v>19</v>
      </c>
      <c r="D365" s="61" t="s">
        <v>134</v>
      </c>
      <c r="E365" s="108"/>
      <c r="F365" s="104"/>
      <c r="G365" s="104"/>
      <c r="H365" s="104" t="s">
        <v>29</v>
      </c>
      <c r="I365" s="108" t="s">
        <v>135</v>
      </c>
      <c r="J365" s="104" t="s">
        <v>24</v>
      </c>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row>
    <row r="366" spans="1:48" s="24" customFormat="1" ht="15.75" x14ac:dyDescent="0.25">
      <c r="A366" s="122" t="s">
        <v>152</v>
      </c>
      <c r="B366" s="122"/>
      <c r="C366" s="88"/>
      <c r="D366" s="74">
        <v>2</v>
      </c>
      <c r="E366" s="73"/>
      <c r="F366" s="73"/>
      <c r="G366" s="64"/>
      <c r="H366" s="73">
        <v>1</v>
      </c>
      <c r="I366" s="68">
        <f>ROUND(SUM(H366*D366),2)</f>
        <v>2</v>
      </c>
      <c r="J366" s="118"/>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row>
    <row r="367" spans="1:48" s="24" customFormat="1" ht="15.75" x14ac:dyDescent="0.25">
      <c r="A367" s="122" t="s">
        <v>153</v>
      </c>
      <c r="B367" s="122"/>
      <c r="C367" s="88"/>
      <c r="D367" s="74">
        <v>1</v>
      </c>
      <c r="E367" s="73"/>
      <c r="F367" s="73"/>
      <c r="G367" s="64"/>
      <c r="H367" s="73">
        <v>1</v>
      </c>
      <c r="I367" s="68">
        <f t="shared" ref="I367:I368" si="48">ROUND(SUM(H367*D367),2)</f>
        <v>1</v>
      </c>
      <c r="J367" s="118"/>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row>
    <row r="368" spans="1:48" s="24" customFormat="1" ht="15.75" x14ac:dyDescent="0.25">
      <c r="A368" s="122" t="s">
        <v>154</v>
      </c>
      <c r="B368" s="122"/>
      <c r="C368" s="88"/>
      <c r="D368" s="74">
        <v>1</v>
      </c>
      <c r="E368" s="73"/>
      <c r="F368" s="73"/>
      <c r="G368" s="64"/>
      <c r="H368" s="73">
        <v>1</v>
      </c>
      <c r="I368" s="68">
        <f t="shared" si="48"/>
        <v>1</v>
      </c>
      <c r="J368" s="118"/>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row>
    <row r="369" spans="1:48" s="24" customFormat="1" ht="15.75" x14ac:dyDescent="0.25">
      <c r="A369" s="159" t="s">
        <v>15</v>
      </c>
      <c r="B369" s="159"/>
      <c r="C369" s="159"/>
      <c r="D369" s="159"/>
      <c r="E369" s="159"/>
      <c r="F369" s="159"/>
      <c r="G369" s="159"/>
      <c r="H369" s="159"/>
      <c r="I369" s="89">
        <f>ROUND(SUM(I366:I368),2)</f>
        <v>4</v>
      </c>
      <c r="J369" s="118"/>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row>
    <row r="370" spans="1:48" s="24" customFormat="1" ht="15.75" x14ac:dyDescent="0.25">
      <c r="A370" s="118"/>
      <c r="B370" s="118"/>
      <c r="C370" s="118"/>
      <c r="D370" s="118"/>
      <c r="E370" s="118"/>
      <c r="F370" s="118"/>
      <c r="G370" s="118"/>
      <c r="H370" s="118"/>
      <c r="I370" s="118"/>
      <c r="J370" s="118"/>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row>
    <row r="371" spans="1:48" s="24" customFormat="1" ht="31.5" x14ac:dyDescent="0.25">
      <c r="A371" s="57"/>
      <c r="B371" s="58" t="s">
        <v>16</v>
      </c>
      <c r="C371" s="172" t="str">
        <f>'PLANILHA ORÇAMENTÁRIA'!C70</f>
        <v>REMOÇÃO MANUAL DE FOLHA DE PORTA OU JANELA DE MADEIRA OU METÁLICA, COM REAPROVEITAMENTO, INCLUSIVE AFASTAMENTO E EMPILHAMENTO, EXCLUSIVE TRANSPORTE E RETIRADA DO MATERIAL REMOVIDO NÃO REAPROVEITÁVEL</v>
      </c>
      <c r="D371" s="172"/>
      <c r="E371" s="172"/>
      <c r="F371" s="172"/>
      <c r="G371" s="172"/>
      <c r="H371" s="172"/>
      <c r="I371" s="172"/>
      <c r="J371" s="172"/>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row>
    <row r="372" spans="1:48" s="24" customFormat="1" ht="15.75" x14ac:dyDescent="0.25">
      <c r="A372" s="173" t="s">
        <v>40</v>
      </c>
      <c r="B372" s="173"/>
      <c r="C372" s="172"/>
      <c r="D372" s="172"/>
      <c r="E372" s="172"/>
      <c r="F372" s="172"/>
      <c r="G372" s="172"/>
      <c r="H372" s="172"/>
      <c r="I372" s="172"/>
      <c r="J372" s="172"/>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row>
    <row r="373" spans="1:48" s="24" customFormat="1" ht="15.75" x14ac:dyDescent="0.25">
      <c r="A373" s="118" t="s">
        <v>48</v>
      </c>
      <c r="B373" s="118"/>
      <c r="C373" s="104" t="s">
        <v>19</v>
      </c>
      <c r="D373" s="61" t="s">
        <v>21</v>
      </c>
      <c r="E373" s="108" t="s">
        <v>42</v>
      </c>
      <c r="F373" s="104"/>
      <c r="G373" s="104"/>
      <c r="H373" s="104" t="s">
        <v>29</v>
      </c>
      <c r="I373" s="108" t="s">
        <v>23</v>
      </c>
      <c r="J373" s="104" t="s">
        <v>24</v>
      </c>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row>
    <row r="374" spans="1:48" s="24" customFormat="1" ht="15.75" x14ac:dyDescent="0.25">
      <c r="A374" s="174" t="s">
        <v>155</v>
      </c>
      <c r="B374" s="174"/>
      <c r="C374" s="88"/>
      <c r="D374" s="74">
        <v>0.6</v>
      </c>
      <c r="E374" s="73">
        <v>2.1</v>
      </c>
      <c r="F374" s="73"/>
      <c r="G374" s="73"/>
      <c r="H374" s="74">
        <v>2</v>
      </c>
      <c r="I374" s="68">
        <f>ROUND(SUM(H374*D374*E374),2)</f>
        <v>2.52</v>
      </c>
      <c r="J374" s="118"/>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row>
    <row r="375" spans="1:48" s="24" customFormat="1" ht="15.75" x14ac:dyDescent="0.25">
      <c r="A375" s="174" t="s">
        <v>156</v>
      </c>
      <c r="B375" s="174"/>
      <c r="C375" s="88"/>
      <c r="D375" s="74">
        <v>0.4</v>
      </c>
      <c r="E375" s="73">
        <v>0.4</v>
      </c>
      <c r="F375" s="73"/>
      <c r="G375" s="73"/>
      <c r="H375" s="74">
        <v>2</v>
      </c>
      <c r="I375" s="68">
        <f>ROUND(SUM(H375*D375*E375),2)</f>
        <v>0.32</v>
      </c>
      <c r="J375" s="118"/>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row>
    <row r="376" spans="1:48" s="24" customFormat="1" ht="15.75" x14ac:dyDescent="0.25">
      <c r="A376" s="159" t="s">
        <v>15</v>
      </c>
      <c r="B376" s="159"/>
      <c r="C376" s="159"/>
      <c r="D376" s="159"/>
      <c r="E376" s="159"/>
      <c r="F376" s="159"/>
      <c r="G376" s="159"/>
      <c r="H376" s="159"/>
      <c r="I376" s="89">
        <f>ROUND(SUM(I374:I375),2)</f>
        <v>2.84</v>
      </c>
      <c r="J376" s="118"/>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row>
    <row r="377" spans="1:48" s="24" customFormat="1" ht="15.75" x14ac:dyDescent="0.25">
      <c r="A377" s="118"/>
      <c r="B377" s="118"/>
      <c r="C377" s="118"/>
      <c r="D377" s="118"/>
      <c r="E377" s="118"/>
      <c r="F377" s="118"/>
      <c r="G377" s="118"/>
      <c r="H377" s="118"/>
      <c r="I377" s="118"/>
      <c r="J377" s="118"/>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row>
    <row r="378" spans="1:48" s="24" customFormat="1" ht="31.5" x14ac:dyDescent="0.25">
      <c r="A378" s="57"/>
      <c r="B378" s="58" t="s">
        <v>16</v>
      </c>
      <c r="C378" s="172" t="str">
        <f>'PLANILHA ORÇAMENTÁRIA'!C71</f>
        <v>DEMOLIÇÃO MANUAL DE ALVENARIA DE TIJOLO CERÂMICO OU BLOCO DE CONCRETO, INCLUSIVE AFASTAMENTO E EMPILHAMENTO, EXCLUSIVE TRANSPORTE E RETIRADA DO MATERIAL DEMOLIDO</v>
      </c>
      <c r="D378" s="172"/>
      <c r="E378" s="172"/>
      <c r="F378" s="172"/>
      <c r="G378" s="172"/>
      <c r="H378" s="172"/>
      <c r="I378" s="172"/>
      <c r="J378" s="172"/>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row>
    <row r="379" spans="1:48" s="24" customFormat="1" ht="15.75" x14ac:dyDescent="0.25">
      <c r="A379" s="173" t="s">
        <v>40</v>
      </c>
      <c r="B379" s="173"/>
      <c r="C379" s="172"/>
      <c r="D379" s="172"/>
      <c r="E379" s="172"/>
      <c r="F379" s="172"/>
      <c r="G379" s="172"/>
      <c r="H379" s="172"/>
      <c r="I379" s="172"/>
      <c r="J379" s="172"/>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row>
    <row r="380" spans="1:48" s="24" customFormat="1" ht="15.75" x14ac:dyDescent="0.25">
      <c r="A380" s="118" t="s">
        <v>48</v>
      </c>
      <c r="B380" s="118"/>
      <c r="C380" s="104" t="s">
        <v>19</v>
      </c>
      <c r="D380" s="61" t="s">
        <v>20</v>
      </c>
      <c r="E380" s="108" t="s">
        <v>21</v>
      </c>
      <c r="F380" s="108" t="s">
        <v>42</v>
      </c>
      <c r="G380" s="104"/>
      <c r="H380" s="104" t="s">
        <v>29</v>
      </c>
      <c r="I380" s="108" t="s">
        <v>30</v>
      </c>
      <c r="J380" s="104" t="s">
        <v>24</v>
      </c>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row>
    <row r="381" spans="1:48" s="24" customFormat="1" ht="15.75" x14ac:dyDescent="0.25">
      <c r="A381" s="122" t="s">
        <v>157</v>
      </c>
      <c r="B381" s="122"/>
      <c r="C381" s="88" t="s">
        <v>160</v>
      </c>
      <c r="D381" s="74">
        <f>1.28+0.6</f>
        <v>1.88</v>
      </c>
      <c r="E381" s="74">
        <v>0.18</v>
      </c>
      <c r="F381" s="73">
        <v>3</v>
      </c>
      <c r="G381" s="73"/>
      <c r="H381" s="73">
        <v>1</v>
      </c>
      <c r="I381" s="68">
        <f>ROUND(SUM(D381*E381*F381*H381),2)</f>
        <v>1.02</v>
      </c>
      <c r="J381" s="118"/>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row>
    <row r="382" spans="1:48" s="24" customFormat="1" ht="15.75" x14ac:dyDescent="0.25">
      <c r="A382" s="122" t="s">
        <v>158</v>
      </c>
      <c r="B382" s="122"/>
      <c r="C382" s="88" t="s">
        <v>159</v>
      </c>
      <c r="D382" s="74">
        <f>4+1.15+1.15+1.15+1.15+1.15+1.15</f>
        <v>10.900000000000002</v>
      </c>
      <c r="E382" s="74">
        <v>0.18</v>
      </c>
      <c r="F382" s="73">
        <v>3</v>
      </c>
      <c r="G382" s="73"/>
      <c r="H382" s="73">
        <v>1</v>
      </c>
      <c r="I382" s="68">
        <f>ROUND(SUM(D382*E382*F382*H382),2)</f>
        <v>5.89</v>
      </c>
      <c r="J382" s="118"/>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row>
    <row r="383" spans="1:48" s="24" customFormat="1" ht="15.75" x14ac:dyDescent="0.25">
      <c r="A383" s="159" t="s">
        <v>15</v>
      </c>
      <c r="B383" s="159"/>
      <c r="C383" s="159"/>
      <c r="D383" s="159"/>
      <c r="E383" s="159"/>
      <c r="F383" s="159"/>
      <c r="G383" s="159"/>
      <c r="H383" s="159"/>
      <c r="I383" s="89">
        <f>ROUND(SUM(I381:I382),2)</f>
        <v>6.91</v>
      </c>
      <c r="J383" s="118"/>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row>
    <row r="384" spans="1:48" s="24" customFormat="1" ht="15.75" x14ac:dyDescent="0.25">
      <c r="A384" s="118"/>
      <c r="B384" s="118"/>
      <c r="C384" s="118"/>
      <c r="D384" s="118"/>
      <c r="E384" s="118"/>
      <c r="F384" s="118"/>
      <c r="G384" s="118"/>
      <c r="H384" s="118"/>
      <c r="I384" s="118"/>
      <c r="J384" s="118"/>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row>
    <row r="385" spans="1:48" s="24" customFormat="1" ht="31.5" x14ac:dyDescent="0.25">
      <c r="A385" s="57"/>
      <c r="B385" s="58" t="s">
        <v>16</v>
      </c>
      <c r="C385" s="172" t="str">
        <f>'PLANILHA ORÇAMENTÁRIA'!C72</f>
        <v>DEMOLIÇÃO MANUAL DE PISO CIMENTADO OU CONTRAPISO DE ARGAMASSA, COM ESPESSURA MÁXIMA DE 10CM, INCLUSIVE AFASTAMENTO E EMPILHAMENTO, EXCLUSIVE TRANSPORTE E RETIRADA DO MATERIAL DEMOLIDO</v>
      </c>
      <c r="D385" s="172"/>
      <c r="E385" s="172"/>
      <c r="F385" s="172"/>
      <c r="G385" s="172"/>
      <c r="H385" s="172"/>
      <c r="I385" s="172"/>
      <c r="J385" s="172"/>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row>
    <row r="386" spans="1:48" s="24" customFormat="1" ht="15.75" x14ac:dyDescent="0.25">
      <c r="A386" s="173" t="s">
        <v>40</v>
      </c>
      <c r="B386" s="173"/>
      <c r="C386" s="172"/>
      <c r="D386" s="172"/>
      <c r="E386" s="172"/>
      <c r="F386" s="172"/>
      <c r="G386" s="172"/>
      <c r="H386" s="172"/>
      <c r="I386" s="172"/>
      <c r="J386" s="172"/>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row>
    <row r="387" spans="1:48" s="24" customFormat="1" ht="15.75" x14ac:dyDescent="0.25">
      <c r="A387" s="118" t="s">
        <v>48</v>
      </c>
      <c r="B387" s="118"/>
      <c r="C387" s="104" t="s">
        <v>19</v>
      </c>
      <c r="D387" s="61" t="s">
        <v>20</v>
      </c>
      <c r="E387" s="108" t="s">
        <v>21</v>
      </c>
      <c r="F387" s="108" t="s">
        <v>31</v>
      </c>
      <c r="G387" s="104"/>
      <c r="H387" s="104" t="s">
        <v>29</v>
      </c>
      <c r="I387" s="108" t="s">
        <v>23</v>
      </c>
      <c r="J387" s="104" t="s">
        <v>24</v>
      </c>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row>
    <row r="388" spans="1:48" s="24" customFormat="1" ht="15.75" x14ac:dyDescent="0.25">
      <c r="A388" s="122" t="s">
        <v>161</v>
      </c>
      <c r="B388" s="122"/>
      <c r="C388" s="88" t="s">
        <v>88</v>
      </c>
      <c r="D388" s="74">
        <v>4</v>
      </c>
      <c r="E388" s="74">
        <v>2</v>
      </c>
      <c r="F388" s="73">
        <v>0.15</v>
      </c>
      <c r="G388" s="73"/>
      <c r="H388" s="74">
        <v>1</v>
      </c>
      <c r="I388" s="68">
        <f>ROUND(SUM(H388*D388*E388*F388),2)</f>
        <v>1.2</v>
      </c>
      <c r="J388" s="118"/>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row>
    <row r="389" spans="1:48" s="24" customFormat="1" ht="15.75" x14ac:dyDescent="0.25">
      <c r="A389" s="122" t="s">
        <v>162</v>
      </c>
      <c r="B389" s="122"/>
      <c r="C389" s="88"/>
      <c r="D389" s="74"/>
      <c r="E389" s="74"/>
      <c r="F389" s="73">
        <v>0.06</v>
      </c>
      <c r="G389" s="73">
        <v>40.74</v>
      </c>
      <c r="H389" s="74">
        <v>1</v>
      </c>
      <c r="I389" s="68">
        <f>ROUND(SUM(H389*F389*G389),2)</f>
        <v>2.44</v>
      </c>
      <c r="J389" s="118"/>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row>
    <row r="390" spans="1:48" s="24" customFormat="1" ht="15.75" x14ac:dyDescent="0.25">
      <c r="A390" s="159" t="s">
        <v>15</v>
      </c>
      <c r="B390" s="159"/>
      <c r="C390" s="159"/>
      <c r="D390" s="159"/>
      <c r="E390" s="159"/>
      <c r="F390" s="159"/>
      <c r="G390" s="159"/>
      <c r="H390" s="159"/>
      <c r="I390" s="89">
        <f>ROUND(SUM(I388:I389),2)</f>
        <v>3.64</v>
      </c>
      <c r="J390" s="118"/>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row>
    <row r="391" spans="1:48" s="24" customFormat="1" ht="15.75" x14ac:dyDescent="0.25">
      <c r="A391" s="118"/>
      <c r="B391" s="118"/>
      <c r="C391" s="118"/>
      <c r="D391" s="118"/>
      <c r="E391" s="118"/>
      <c r="F391" s="118"/>
      <c r="G391" s="118"/>
      <c r="H391" s="118"/>
      <c r="I391" s="118"/>
      <c r="J391" s="60"/>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row>
    <row r="392" spans="1:48" s="17" customFormat="1" ht="15.75" x14ac:dyDescent="0.25">
      <c r="A392" s="110" t="s">
        <v>66</v>
      </c>
      <c r="B392" s="145" t="s">
        <v>39</v>
      </c>
      <c r="C392" s="145"/>
      <c r="D392" s="145"/>
      <c r="E392" s="145"/>
      <c r="F392" s="145"/>
      <c r="G392" s="145"/>
      <c r="H392" s="145"/>
      <c r="I392" s="145"/>
      <c r="J392" s="145"/>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row>
    <row r="393" spans="1:48" s="18" customFormat="1" ht="31.5" x14ac:dyDescent="0.25">
      <c r="A393" s="57"/>
      <c r="B393" s="58" t="s">
        <v>16</v>
      </c>
      <c r="C393" s="150" t="str">
        <f>'PLANILHA ORÇAMENTÁRIA'!C74</f>
        <v>PAREDE EM CHAPA DE GESSO ACARTONADO (DRYWALL), DIVISÃO ENTRE ÁREAS SECAS DE UMA MESMA UNIDADE (ST/ST), ESP. 115 MM, INCLUSIVE MONTANTES, GUIAS E ACESSÓRIOS, EXCLUSIVE ISOLANTE TÉRMICO/ACÚSTICO</v>
      </c>
      <c r="D393" s="150"/>
      <c r="E393" s="150"/>
      <c r="F393" s="150"/>
      <c r="G393" s="150"/>
      <c r="H393" s="150"/>
      <c r="I393" s="150"/>
      <c r="J393" s="150"/>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row>
    <row r="394" spans="1:48" s="18" customFormat="1" ht="15.75" x14ac:dyDescent="0.25">
      <c r="A394" s="59" t="s">
        <v>17</v>
      </c>
      <c r="B394" s="59" t="s">
        <v>18</v>
      </c>
      <c r="C394" s="150"/>
      <c r="D394" s="150"/>
      <c r="E394" s="150"/>
      <c r="F394" s="150"/>
      <c r="G394" s="150"/>
      <c r="H394" s="150"/>
      <c r="I394" s="150"/>
      <c r="J394" s="150"/>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row>
    <row r="395" spans="1:48" s="17" customFormat="1" ht="31.5" x14ac:dyDescent="0.25">
      <c r="A395" s="151" t="s">
        <v>40</v>
      </c>
      <c r="B395" s="151"/>
      <c r="C395" s="106" t="s">
        <v>0</v>
      </c>
      <c r="D395" s="106" t="s">
        <v>41</v>
      </c>
      <c r="E395" s="106" t="s">
        <v>42</v>
      </c>
      <c r="F395" s="106" t="s">
        <v>43</v>
      </c>
      <c r="G395" s="106" t="s">
        <v>122</v>
      </c>
      <c r="H395" s="106" t="s">
        <v>44</v>
      </c>
      <c r="I395" s="106" t="s">
        <v>23</v>
      </c>
      <c r="J395" s="106" t="s">
        <v>24</v>
      </c>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row>
    <row r="396" spans="1:48" s="20" customFormat="1" ht="15.75" x14ac:dyDescent="0.25">
      <c r="A396" s="141" t="s">
        <v>183</v>
      </c>
      <c r="B396" s="141"/>
      <c r="C396" s="77" t="s">
        <v>184</v>
      </c>
      <c r="D396" s="77">
        <f>2.96*2+6.92*2</f>
        <v>19.759999999999998</v>
      </c>
      <c r="E396" s="77">
        <v>3</v>
      </c>
      <c r="F396" s="77">
        <v>1</v>
      </c>
      <c r="G396" s="78"/>
      <c r="H396" s="77">
        <f>(0.8*2.1*4)</f>
        <v>6.7200000000000006</v>
      </c>
      <c r="I396" s="77">
        <f>ROUND(SUM((D396*E396*F396)-H396),2)</f>
        <v>52.56</v>
      </c>
      <c r="J396" s="15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row>
    <row r="397" spans="1:48" s="17" customFormat="1" ht="15.75" x14ac:dyDescent="0.25">
      <c r="A397" s="149"/>
      <c r="B397" s="149"/>
      <c r="C397" s="149"/>
      <c r="D397" s="149"/>
      <c r="E397" s="149"/>
      <c r="F397" s="149"/>
      <c r="G397" s="149"/>
      <c r="H397" s="149"/>
      <c r="I397" s="79">
        <f>ROUND(SUM(I396:I396),2)</f>
        <v>52.56</v>
      </c>
      <c r="J397" s="15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row>
    <row r="398" spans="1:48" s="17" customFormat="1" ht="15.75" x14ac:dyDescent="0.25">
      <c r="A398" s="151"/>
      <c r="B398" s="151"/>
      <c r="C398" s="151"/>
      <c r="D398" s="151"/>
      <c r="E398" s="151"/>
      <c r="F398" s="151"/>
      <c r="G398" s="151"/>
      <c r="H398" s="151"/>
      <c r="I398" s="151"/>
      <c r="J398" s="15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row>
    <row r="399" spans="1:48" s="17" customFormat="1" ht="15.75" x14ac:dyDescent="0.25">
      <c r="A399" s="110" t="s">
        <v>67</v>
      </c>
      <c r="B399" s="145" t="s">
        <v>118</v>
      </c>
      <c r="C399" s="145"/>
      <c r="D399" s="145"/>
      <c r="E399" s="145"/>
      <c r="F399" s="145"/>
      <c r="G399" s="145"/>
      <c r="H399" s="145"/>
      <c r="I399" s="145"/>
      <c r="J399" s="145"/>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row>
    <row r="400" spans="1:48" s="18" customFormat="1" ht="31.5" x14ac:dyDescent="0.25">
      <c r="A400" s="57"/>
      <c r="B400" s="58" t="s">
        <v>16</v>
      </c>
      <c r="C400" s="150" t="str">
        <f>'PLANILHA ORÇAMENTÁRIA'!C76</f>
        <v>PORTA DE MADEIRA COMPLETA, DIMENSÃO (80X210)CM, TIPO DE ABRIR, UMA (1) FOLHA, ACABAMENTO NATURAL PARA PINTURA/VERNIZ, TIPO PRANCHETA/SARRAFEADA, INCLUSIVE MARCO, ALIZAR E FERRAGENS, EXCLUSIVE PINTURA/VERNIZ</v>
      </c>
      <c r="D400" s="150"/>
      <c r="E400" s="150"/>
      <c r="F400" s="150"/>
      <c r="G400" s="150"/>
      <c r="H400" s="150"/>
      <c r="I400" s="150"/>
      <c r="J400" s="150"/>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row>
    <row r="401" spans="1:48" s="18" customFormat="1" ht="15.75" x14ac:dyDescent="0.25">
      <c r="A401" s="59" t="s">
        <v>17</v>
      </c>
      <c r="B401" s="59" t="s">
        <v>18</v>
      </c>
      <c r="C401" s="150"/>
      <c r="D401" s="150"/>
      <c r="E401" s="150"/>
      <c r="F401" s="150"/>
      <c r="G401" s="150"/>
      <c r="H401" s="150"/>
      <c r="I401" s="150"/>
      <c r="J401" s="150"/>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row>
    <row r="402" spans="1:48" s="17" customFormat="1" ht="15.75" x14ac:dyDescent="0.25">
      <c r="A402" s="151" t="s">
        <v>40</v>
      </c>
      <c r="B402" s="151"/>
      <c r="C402" s="106"/>
      <c r="D402" s="106"/>
      <c r="E402" s="106"/>
      <c r="F402" s="106"/>
      <c r="G402" s="106"/>
      <c r="H402" s="106" t="s">
        <v>188</v>
      </c>
      <c r="I402" s="106" t="s">
        <v>186</v>
      </c>
      <c r="J402" s="106" t="s">
        <v>24</v>
      </c>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row>
    <row r="403" spans="1:48" s="20" customFormat="1" ht="15.75" x14ac:dyDescent="0.25">
      <c r="A403" s="141" t="s">
        <v>187</v>
      </c>
      <c r="B403" s="141"/>
      <c r="C403" s="77"/>
      <c r="D403" s="77"/>
      <c r="E403" s="77"/>
      <c r="F403" s="77"/>
      <c r="G403" s="78"/>
      <c r="H403" s="77">
        <v>4</v>
      </c>
      <c r="I403" s="77">
        <f>ROUND(SUM(H403),2)</f>
        <v>4</v>
      </c>
      <c r="J403" s="15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row>
    <row r="404" spans="1:48" s="17" customFormat="1" ht="15.75" x14ac:dyDescent="0.25">
      <c r="A404" s="149"/>
      <c r="B404" s="149"/>
      <c r="C404" s="149"/>
      <c r="D404" s="149"/>
      <c r="E404" s="149"/>
      <c r="F404" s="149"/>
      <c r="G404" s="149"/>
      <c r="H404" s="149"/>
      <c r="I404" s="79">
        <f>ROUND(SUM(I403:I403),2)</f>
        <v>4</v>
      </c>
      <c r="J404" s="15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row>
    <row r="405" spans="1:48" s="17" customFormat="1" ht="15.75" x14ac:dyDescent="0.25">
      <c r="A405" s="151"/>
      <c r="B405" s="151"/>
      <c r="C405" s="151"/>
      <c r="D405" s="151"/>
      <c r="E405" s="151"/>
      <c r="F405" s="151"/>
      <c r="G405" s="151"/>
      <c r="H405" s="151"/>
      <c r="I405" s="151"/>
      <c r="J405" s="15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row>
    <row r="406" spans="1:48" s="17" customFormat="1" ht="15.75" x14ac:dyDescent="0.25">
      <c r="A406" s="110" t="s">
        <v>68</v>
      </c>
      <c r="B406" s="145" t="s">
        <v>131</v>
      </c>
      <c r="C406" s="145"/>
      <c r="D406" s="145"/>
      <c r="E406" s="145"/>
      <c r="F406" s="145"/>
      <c r="G406" s="145"/>
      <c r="H406" s="145"/>
      <c r="I406" s="145"/>
      <c r="J406" s="145"/>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row>
    <row r="407" spans="1:48" s="18" customFormat="1" ht="31.5" x14ac:dyDescent="0.25">
      <c r="A407" s="57"/>
      <c r="B407" s="58" t="s">
        <v>16</v>
      </c>
      <c r="C407" s="150" t="str">
        <f>'PLANILHA ORÇAMENTÁRIA'!C78</f>
        <v>FORRO EM RÉGUA DE PVC, LARGURA 20CM, NA COR BRANCA, INCLUSIVE ESTRUTURA DE FIXAÇÃO E PENDURAIS METÁLICOS E ACESSÓRIOS DE FIXAÇÃO, EXCLUSIVE RODAFORRO OU MOLDURA</v>
      </c>
      <c r="D407" s="150"/>
      <c r="E407" s="150"/>
      <c r="F407" s="150"/>
      <c r="G407" s="150"/>
      <c r="H407" s="150"/>
      <c r="I407" s="150"/>
      <c r="J407" s="150"/>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row>
    <row r="408" spans="1:48" s="18" customFormat="1" ht="15.75" x14ac:dyDescent="0.25">
      <c r="A408" s="59" t="s">
        <v>17</v>
      </c>
      <c r="B408" s="59" t="s">
        <v>18</v>
      </c>
      <c r="C408" s="150"/>
      <c r="D408" s="150"/>
      <c r="E408" s="150"/>
      <c r="F408" s="150"/>
      <c r="G408" s="150"/>
      <c r="H408" s="150"/>
      <c r="I408" s="150"/>
      <c r="J408" s="150"/>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row>
    <row r="409" spans="1:48" s="17" customFormat="1" ht="15.75" x14ac:dyDescent="0.25">
      <c r="A409" s="151" t="s">
        <v>40</v>
      </c>
      <c r="B409" s="151"/>
      <c r="C409" s="106"/>
      <c r="D409" s="106" t="s">
        <v>49</v>
      </c>
      <c r="E409" s="106"/>
      <c r="F409" s="106"/>
      <c r="G409" s="106"/>
      <c r="H409" s="106" t="s">
        <v>181</v>
      </c>
      <c r="I409" s="106" t="s">
        <v>23</v>
      </c>
      <c r="J409" s="106" t="s">
        <v>24</v>
      </c>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row>
    <row r="410" spans="1:48" s="20" customFormat="1" ht="15.75" x14ac:dyDescent="0.25">
      <c r="A410" s="141" t="s">
        <v>190</v>
      </c>
      <c r="B410" s="141"/>
      <c r="C410" s="77"/>
      <c r="D410" s="77">
        <v>20.45</v>
      </c>
      <c r="E410" s="77"/>
      <c r="F410" s="77"/>
      <c r="G410" s="78"/>
      <c r="H410" s="77">
        <v>1</v>
      </c>
      <c r="I410" s="77">
        <f>ROUND(SUM(H410*D410),2)</f>
        <v>20.45</v>
      </c>
      <c r="J410" s="15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row>
    <row r="411" spans="1:48" s="20" customFormat="1" ht="15.75" x14ac:dyDescent="0.25">
      <c r="A411" s="141" t="s">
        <v>191</v>
      </c>
      <c r="B411" s="141"/>
      <c r="C411" s="77"/>
      <c r="D411" s="77">
        <v>16.53</v>
      </c>
      <c r="E411" s="77"/>
      <c r="F411" s="77"/>
      <c r="G411" s="78"/>
      <c r="H411" s="77">
        <v>1</v>
      </c>
      <c r="I411" s="77">
        <f t="shared" ref="I411:I417" si="49">ROUND(SUM(H411*D411),2)</f>
        <v>16.53</v>
      </c>
      <c r="J411" s="15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row>
    <row r="412" spans="1:48" s="20" customFormat="1" ht="15.75" x14ac:dyDescent="0.25">
      <c r="A412" s="141" t="s">
        <v>192</v>
      </c>
      <c r="B412" s="141"/>
      <c r="C412" s="77"/>
      <c r="D412" s="77">
        <v>20.39</v>
      </c>
      <c r="E412" s="77"/>
      <c r="F412" s="77"/>
      <c r="G412" s="78"/>
      <c r="H412" s="77">
        <v>1</v>
      </c>
      <c r="I412" s="77">
        <f t="shared" si="49"/>
        <v>20.39</v>
      </c>
      <c r="J412" s="15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row>
    <row r="413" spans="1:48" s="20" customFormat="1" ht="15.75" x14ac:dyDescent="0.25">
      <c r="A413" s="141" t="s">
        <v>193</v>
      </c>
      <c r="B413" s="141"/>
      <c r="C413" s="77"/>
      <c r="D413" s="77">
        <v>16.47</v>
      </c>
      <c r="E413" s="77"/>
      <c r="F413" s="77"/>
      <c r="G413" s="78"/>
      <c r="H413" s="77">
        <v>1</v>
      </c>
      <c r="I413" s="77">
        <f t="shared" si="49"/>
        <v>16.47</v>
      </c>
      <c r="J413" s="15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row>
    <row r="414" spans="1:48" s="20" customFormat="1" ht="15.75" x14ac:dyDescent="0.25">
      <c r="A414" s="141" t="s">
        <v>194</v>
      </c>
      <c r="B414" s="141"/>
      <c r="C414" s="77"/>
      <c r="D414" s="77">
        <v>12.72</v>
      </c>
      <c r="E414" s="77"/>
      <c r="F414" s="77"/>
      <c r="G414" s="78"/>
      <c r="H414" s="77">
        <v>1</v>
      </c>
      <c r="I414" s="77">
        <f t="shared" si="49"/>
        <v>12.72</v>
      </c>
      <c r="J414" s="15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row>
    <row r="415" spans="1:48" s="20" customFormat="1" ht="15.75" x14ac:dyDescent="0.25">
      <c r="A415" s="141" t="s">
        <v>195</v>
      </c>
      <c r="B415" s="141"/>
      <c r="C415" s="77"/>
      <c r="D415" s="77">
        <v>8.6</v>
      </c>
      <c r="E415" s="77"/>
      <c r="F415" s="77"/>
      <c r="G415" s="78"/>
      <c r="H415" s="77">
        <v>1</v>
      </c>
      <c r="I415" s="77">
        <f t="shared" si="49"/>
        <v>8.6</v>
      </c>
      <c r="J415" s="15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row>
    <row r="416" spans="1:48" s="20" customFormat="1" ht="15.75" x14ac:dyDescent="0.25">
      <c r="A416" s="141" t="s">
        <v>196</v>
      </c>
      <c r="B416" s="141"/>
      <c r="C416" s="77"/>
      <c r="D416" s="77">
        <v>3.55</v>
      </c>
      <c r="E416" s="77"/>
      <c r="F416" s="77"/>
      <c r="G416" s="78"/>
      <c r="H416" s="77">
        <v>1</v>
      </c>
      <c r="I416" s="77">
        <f t="shared" si="49"/>
        <v>3.55</v>
      </c>
      <c r="J416" s="15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row>
    <row r="417" spans="1:50" s="20" customFormat="1" ht="15.75" x14ac:dyDescent="0.25">
      <c r="A417" s="141" t="s">
        <v>197</v>
      </c>
      <c r="B417" s="141"/>
      <c r="C417" s="77"/>
      <c r="D417" s="77">
        <v>3.55</v>
      </c>
      <c r="E417" s="77"/>
      <c r="F417" s="77"/>
      <c r="G417" s="78"/>
      <c r="H417" s="77">
        <v>1</v>
      </c>
      <c r="I417" s="77">
        <f t="shared" si="49"/>
        <v>3.55</v>
      </c>
      <c r="J417" s="15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row>
    <row r="418" spans="1:50" s="17" customFormat="1" ht="15.75" x14ac:dyDescent="0.25">
      <c r="A418" s="149" t="s">
        <v>198</v>
      </c>
      <c r="B418" s="149"/>
      <c r="C418" s="149"/>
      <c r="D418" s="149"/>
      <c r="E418" s="149"/>
      <c r="F418" s="149"/>
      <c r="G418" s="149"/>
      <c r="H418" s="149"/>
      <c r="I418" s="79">
        <f>ROUND(SUM(I410:I417),2)</f>
        <v>102.26</v>
      </c>
      <c r="J418" s="15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row>
    <row r="419" spans="1:50" s="24" customFormat="1" ht="15.75" x14ac:dyDescent="0.25">
      <c r="A419" s="118"/>
      <c r="B419" s="118"/>
      <c r="C419" s="118"/>
      <c r="D419" s="118"/>
      <c r="E419" s="118"/>
      <c r="F419" s="118"/>
      <c r="G419" s="118"/>
      <c r="H419" s="118"/>
      <c r="I419" s="118"/>
      <c r="J419" s="118"/>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row>
    <row r="420" spans="1:50" s="12" customFormat="1" ht="15.75" x14ac:dyDescent="0.25">
      <c r="A420" s="110" t="s">
        <v>69</v>
      </c>
      <c r="B420" s="145" t="s">
        <v>199</v>
      </c>
      <c r="C420" s="145"/>
      <c r="D420" s="145"/>
      <c r="E420" s="145"/>
      <c r="F420" s="145"/>
      <c r="G420" s="145"/>
      <c r="H420" s="145"/>
      <c r="I420" s="145"/>
      <c r="J420" s="145"/>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6"/>
      <c r="AX420" s="10"/>
    </row>
    <row r="421" spans="1:50" s="7" customFormat="1" ht="31.5" x14ac:dyDescent="0.25">
      <c r="A421" s="57"/>
      <c r="B421" s="58" t="s">
        <v>16</v>
      </c>
      <c r="C421" s="146" t="str">
        <f>'PLANILHA ORÇAMENTÁRIA'!C80</f>
        <v>EMASSAMENTO EM PAREDE EM CHAPA DE GESSO ACARTONADO (DRYWALL) COM MASSA ACRÍLICA, UMA (1) DEMÃO, INCLUSIVE LIXAMENTO PARA PINTURA</v>
      </c>
      <c r="D421" s="146"/>
      <c r="E421" s="146"/>
      <c r="F421" s="146"/>
      <c r="G421" s="146"/>
      <c r="H421" s="146"/>
      <c r="I421" s="146"/>
      <c r="J421" s="146"/>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6"/>
    </row>
    <row r="422" spans="1:50" s="7" customFormat="1" ht="31.5" x14ac:dyDescent="0.25">
      <c r="A422" s="151" t="s">
        <v>40</v>
      </c>
      <c r="B422" s="151"/>
      <c r="C422" s="106" t="s">
        <v>0</v>
      </c>
      <c r="D422" s="106" t="s">
        <v>41</v>
      </c>
      <c r="E422" s="106" t="s">
        <v>42</v>
      </c>
      <c r="F422" s="106" t="s">
        <v>200</v>
      </c>
      <c r="G422" s="106" t="s">
        <v>122</v>
      </c>
      <c r="H422" s="106" t="s">
        <v>44</v>
      </c>
      <c r="I422" s="106" t="s">
        <v>23</v>
      </c>
      <c r="J422" s="106" t="s">
        <v>24</v>
      </c>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6"/>
    </row>
    <row r="423" spans="1:50" s="7" customFormat="1" ht="15.75" x14ac:dyDescent="0.25">
      <c r="A423" s="141" t="s">
        <v>183</v>
      </c>
      <c r="B423" s="141"/>
      <c r="C423" s="77" t="s">
        <v>184</v>
      </c>
      <c r="D423" s="77">
        <f>2.96*2+6.92*2</f>
        <v>19.759999999999998</v>
      </c>
      <c r="E423" s="77">
        <v>3</v>
      </c>
      <c r="F423" s="77">
        <v>2</v>
      </c>
      <c r="G423" s="78"/>
      <c r="H423" s="77">
        <f>(0.8*2.1*4*2)</f>
        <v>13.440000000000001</v>
      </c>
      <c r="I423" s="77">
        <f>ROUND(SUM((D423*E423*F423)-H423),2)</f>
        <v>105.12</v>
      </c>
      <c r="J423" s="175"/>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6"/>
    </row>
    <row r="424" spans="1:50" s="7" customFormat="1" ht="15.75" x14ac:dyDescent="0.25">
      <c r="A424" s="142" t="s">
        <v>15</v>
      </c>
      <c r="B424" s="142"/>
      <c r="C424" s="142"/>
      <c r="D424" s="142"/>
      <c r="E424" s="142"/>
      <c r="F424" s="142"/>
      <c r="G424" s="142"/>
      <c r="H424" s="142"/>
      <c r="I424" s="72">
        <f>SUM(I423:I423)</f>
        <v>105.12</v>
      </c>
      <c r="J424" s="175"/>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6"/>
    </row>
    <row r="425" spans="1:50" s="7" customFormat="1" ht="15.75" x14ac:dyDescent="0.25">
      <c r="A425" s="139"/>
      <c r="B425" s="139"/>
      <c r="C425" s="139"/>
      <c r="D425" s="139"/>
      <c r="E425" s="139"/>
      <c r="F425" s="139"/>
      <c r="G425" s="139"/>
      <c r="H425" s="139"/>
      <c r="I425" s="139"/>
      <c r="J425" s="139"/>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6"/>
    </row>
    <row r="426" spans="1:50" s="7" customFormat="1" ht="31.5" x14ac:dyDescent="0.25">
      <c r="A426" s="57"/>
      <c r="B426" s="58" t="s">
        <v>16</v>
      </c>
      <c r="C426" s="146" t="str">
        <f>'PLANILHA ORÇAMENTÁRIA'!C81</f>
        <v>PINTURA ACRÍLICA EM PAREDE, DUAS (2) DEMÃOS, COM APLICAÇÃO MANUAL, EXCLUSIVE SELADOR ACRÍLICO E MASSA ACRÍLICA/CORRIDA (PVA)</v>
      </c>
      <c r="D426" s="146"/>
      <c r="E426" s="146"/>
      <c r="F426" s="146"/>
      <c r="G426" s="146"/>
      <c r="H426" s="146"/>
      <c r="I426" s="146"/>
      <c r="J426" s="146"/>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6"/>
    </row>
    <row r="427" spans="1:50" s="7" customFormat="1" ht="15.75" x14ac:dyDescent="0.25">
      <c r="A427" s="151" t="s">
        <v>40</v>
      </c>
      <c r="B427" s="151"/>
      <c r="C427" s="106" t="s">
        <v>0</v>
      </c>
      <c r="D427" s="106" t="s">
        <v>41</v>
      </c>
      <c r="E427" s="106" t="s">
        <v>42</v>
      </c>
      <c r="F427" s="106" t="s">
        <v>200</v>
      </c>
      <c r="G427" s="106" t="s">
        <v>53</v>
      </c>
      <c r="H427" s="106"/>
      <c r="I427" s="106" t="s">
        <v>23</v>
      </c>
      <c r="J427" s="106" t="s">
        <v>24</v>
      </c>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6"/>
    </row>
    <row r="428" spans="1:50" s="7" customFormat="1" ht="15.75" x14ac:dyDescent="0.25">
      <c r="A428" s="141" t="str">
        <f>A423</f>
        <v>DIVISÓRIAS INTERNAS</v>
      </c>
      <c r="B428" s="141"/>
      <c r="C428" s="77"/>
      <c r="D428" s="77"/>
      <c r="E428" s="77"/>
      <c r="F428" s="77"/>
      <c r="G428" s="77">
        <f>I424</f>
        <v>105.12</v>
      </c>
      <c r="H428" s="77"/>
      <c r="I428" s="77">
        <f>(G428)</f>
        <v>105.12</v>
      </c>
      <c r="J428" s="175"/>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6"/>
    </row>
    <row r="429" spans="1:50" s="7" customFormat="1" ht="15.75" x14ac:dyDescent="0.25">
      <c r="A429" s="170" t="s">
        <v>201</v>
      </c>
      <c r="B429" s="170"/>
      <c r="C429" s="77" t="s">
        <v>202</v>
      </c>
      <c r="D429" s="77">
        <f>21.25*2+6.41*4+4</f>
        <v>72.14</v>
      </c>
      <c r="E429" s="77">
        <v>3</v>
      </c>
      <c r="F429" s="77">
        <v>2</v>
      </c>
      <c r="G429" s="77"/>
      <c r="H429" s="77"/>
      <c r="I429" s="77">
        <f>ROUND(SUM(D429*E429*F429),2)</f>
        <v>432.84</v>
      </c>
      <c r="J429" s="175"/>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6"/>
    </row>
    <row r="430" spans="1:50" s="7" customFormat="1" ht="15.75" x14ac:dyDescent="0.25">
      <c r="A430" s="142" t="s">
        <v>15</v>
      </c>
      <c r="B430" s="142"/>
      <c r="C430" s="142"/>
      <c r="D430" s="142"/>
      <c r="E430" s="142"/>
      <c r="F430" s="142"/>
      <c r="G430" s="142"/>
      <c r="H430" s="142"/>
      <c r="I430" s="72">
        <f>SUM(I428:I429)</f>
        <v>537.96</v>
      </c>
      <c r="J430" s="175"/>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6"/>
    </row>
    <row r="431" spans="1:50" s="7" customFormat="1" ht="15.75" x14ac:dyDescent="0.25">
      <c r="A431" s="139"/>
      <c r="B431" s="139"/>
      <c r="C431" s="139"/>
      <c r="D431" s="139"/>
      <c r="E431" s="139"/>
      <c r="F431" s="139"/>
      <c r="G431" s="139"/>
      <c r="H431" s="139"/>
      <c r="I431" s="139"/>
      <c r="J431" s="139"/>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6"/>
    </row>
    <row r="432" spans="1:50" s="18" customFormat="1" ht="31.5" x14ac:dyDescent="0.25">
      <c r="A432" s="57"/>
      <c r="B432" s="58" t="s">
        <v>16</v>
      </c>
      <c r="C432" s="146" t="str">
        <f>'PLANILHA ORÇAMENTÁRIA'!C82</f>
        <v>PINTURA ESMALTE BASE SOLVENTE EM ESQUADRIA DE MADEIRA, DUAS (2) DEMÃOS, COM APLICAÇÃO MANUAL, INCLUSIVE UMA (1) DEMÃO DE FUNDO NIVELADOR E PREPARAÇÃO DA SUPERFÍCIE COM LIXAMENTO, EXCLUSIVE MASSA A ÓLEO</v>
      </c>
      <c r="D432" s="146"/>
      <c r="E432" s="146"/>
      <c r="F432" s="146"/>
      <c r="G432" s="146"/>
      <c r="H432" s="146"/>
      <c r="I432" s="146"/>
      <c r="J432" s="146"/>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row>
    <row r="433" spans="1:50" s="12" customFormat="1" ht="15.75" x14ac:dyDescent="0.25">
      <c r="A433" s="151" t="s">
        <v>40</v>
      </c>
      <c r="B433" s="151"/>
      <c r="C433" s="104" t="s">
        <v>19</v>
      </c>
      <c r="D433" s="108" t="s">
        <v>20</v>
      </c>
      <c r="E433" s="108" t="s">
        <v>42</v>
      </c>
      <c r="F433" s="108" t="s">
        <v>57</v>
      </c>
      <c r="G433" s="108"/>
      <c r="H433" s="108" t="s">
        <v>151</v>
      </c>
      <c r="I433" s="108" t="s">
        <v>23</v>
      </c>
      <c r="J433" s="108" t="s">
        <v>24</v>
      </c>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6"/>
      <c r="AX433" s="10"/>
    </row>
    <row r="434" spans="1:50" s="25" customFormat="1" ht="15.75" x14ac:dyDescent="0.25">
      <c r="A434" s="141" t="s">
        <v>203</v>
      </c>
      <c r="B434" s="141"/>
      <c r="C434" s="78"/>
      <c r="D434" s="77">
        <v>0.8</v>
      </c>
      <c r="E434" s="77">
        <v>2.1</v>
      </c>
      <c r="F434" s="77">
        <v>2</v>
      </c>
      <c r="G434" s="106"/>
      <c r="H434" s="77">
        <v>8</v>
      </c>
      <c r="I434" s="77">
        <f t="shared" ref="I434" si="50">ROUND(SUM(E434*D434*H434*F434),2)</f>
        <v>26.88</v>
      </c>
      <c r="J434" s="139"/>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6"/>
    </row>
    <row r="435" spans="1:50" s="24" customFormat="1" ht="15.75" x14ac:dyDescent="0.25">
      <c r="A435" s="142" t="s">
        <v>15</v>
      </c>
      <c r="B435" s="142"/>
      <c r="C435" s="142"/>
      <c r="D435" s="142"/>
      <c r="E435" s="142"/>
      <c r="F435" s="142"/>
      <c r="G435" s="142"/>
      <c r="H435" s="142"/>
      <c r="I435" s="72">
        <f>ROUND(SUM(SUM(I434:I434)),2)</f>
        <v>26.88</v>
      </c>
      <c r="J435" s="139"/>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row>
    <row r="436" spans="1:50" s="24" customFormat="1" ht="15.75" x14ac:dyDescent="0.25">
      <c r="A436" s="85"/>
      <c r="B436" s="86"/>
      <c r="C436" s="86"/>
      <c r="D436" s="86"/>
      <c r="E436" s="86"/>
      <c r="F436" s="86"/>
      <c r="G436" s="86"/>
      <c r="H436" s="86"/>
      <c r="I436" s="86"/>
      <c r="J436" s="87"/>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row>
    <row r="437" spans="1:50" s="4" customFormat="1" ht="15.75" x14ac:dyDescent="0.25">
      <c r="A437" s="90"/>
      <c r="B437" s="82"/>
      <c r="C437" s="91"/>
      <c r="D437" s="92"/>
      <c r="E437" s="92"/>
      <c r="F437" s="92"/>
      <c r="G437" s="92"/>
      <c r="H437" s="92"/>
      <c r="I437" s="92"/>
      <c r="J437" s="93"/>
      <c r="K437" s="26"/>
      <c r="L437" s="26"/>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row>
    <row r="438" spans="1:50" s="4" customFormat="1" ht="15.75" x14ac:dyDescent="0.25">
      <c r="A438" s="90"/>
      <c r="B438" s="82"/>
      <c r="C438" s="91"/>
      <c r="D438" s="92"/>
      <c r="E438" s="92"/>
      <c r="F438" s="92"/>
      <c r="G438" s="92"/>
      <c r="H438" s="92"/>
      <c r="I438" s="92"/>
      <c r="J438" s="93"/>
      <c r="K438" s="26"/>
      <c r="L438" s="26"/>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row>
    <row r="439" spans="1:50" s="4" customFormat="1" ht="15.75" x14ac:dyDescent="0.25">
      <c r="A439" s="90"/>
      <c r="B439" s="82"/>
      <c r="C439" s="91"/>
      <c r="D439" s="92"/>
      <c r="E439" s="92"/>
      <c r="F439" s="92"/>
      <c r="G439" s="92"/>
      <c r="H439" s="92"/>
      <c r="I439" s="92"/>
      <c r="J439" s="93"/>
      <c r="K439" s="26"/>
      <c r="L439" s="26"/>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row>
    <row r="440" spans="1:50" s="4" customFormat="1" ht="15.75" x14ac:dyDescent="0.25">
      <c r="A440" s="90"/>
      <c r="B440" s="82"/>
      <c r="C440" s="91"/>
      <c r="D440" s="92"/>
      <c r="E440" s="92"/>
      <c r="F440" s="92"/>
      <c r="G440" s="92"/>
      <c r="H440" s="92"/>
      <c r="I440" s="92"/>
      <c r="J440" s="93"/>
      <c r="K440" s="26"/>
      <c r="L440" s="26"/>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row>
    <row r="441" spans="1:50" s="4" customFormat="1" ht="15.75" x14ac:dyDescent="0.25">
      <c r="A441" s="90"/>
      <c r="B441" s="82"/>
      <c r="C441" s="91"/>
      <c r="D441" s="92"/>
      <c r="E441" s="92"/>
      <c r="F441" s="92"/>
      <c r="G441" s="92"/>
      <c r="H441" s="92"/>
      <c r="I441" s="92"/>
      <c r="J441" s="93"/>
      <c r="K441" s="26"/>
      <c r="L441" s="26"/>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row>
    <row r="442" spans="1:50" s="4" customFormat="1" ht="15.75" x14ac:dyDescent="0.25">
      <c r="A442" s="90"/>
      <c r="B442" s="82"/>
      <c r="C442" s="157"/>
      <c r="D442" s="157"/>
      <c r="E442" s="94"/>
      <c r="F442" s="94"/>
      <c r="G442" s="95"/>
      <c r="H442" s="96"/>
      <c r="I442" s="96"/>
      <c r="J442" s="93"/>
      <c r="K442" s="26"/>
      <c r="L442" s="26"/>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row>
    <row r="443" spans="1:50" s="4" customFormat="1" ht="15.75" x14ac:dyDescent="0.25">
      <c r="A443" s="90"/>
      <c r="B443" s="82"/>
      <c r="C443" s="158" t="s">
        <v>70</v>
      </c>
      <c r="D443" s="158"/>
      <c r="E443" s="94"/>
      <c r="F443" s="94"/>
      <c r="G443" s="158" t="s">
        <v>73</v>
      </c>
      <c r="H443" s="158"/>
      <c r="I443" s="158"/>
      <c r="J443" s="93"/>
      <c r="K443" s="26"/>
      <c r="L443" s="26"/>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row>
    <row r="444" spans="1:50" s="4" customFormat="1" ht="15.75" x14ac:dyDescent="0.25">
      <c r="A444" s="90"/>
      <c r="B444" s="82"/>
      <c r="C444" s="156" t="s">
        <v>71</v>
      </c>
      <c r="D444" s="156"/>
      <c r="E444" s="94"/>
      <c r="F444" s="94"/>
      <c r="G444" s="156" t="s">
        <v>72</v>
      </c>
      <c r="H444" s="156"/>
      <c r="I444" s="156"/>
      <c r="J444" s="93"/>
      <c r="K444" s="26"/>
      <c r="L444" s="26"/>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row>
    <row r="445" spans="1:50" s="4" customFormat="1" ht="15.75" x14ac:dyDescent="0.25">
      <c r="A445" s="97"/>
      <c r="B445" s="98"/>
      <c r="C445" s="99"/>
      <c r="D445" s="95"/>
      <c r="E445" s="95"/>
      <c r="F445" s="95"/>
      <c r="G445" s="95"/>
      <c r="H445" s="95"/>
      <c r="I445" s="95"/>
      <c r="J445" s="100"/>
      <c r="K445" s="26"/>
      <c r="L445" s="26"/>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row>
    <row r="446" spans="1:50" s="4" customFormat="1" x14ac:dyDescent="0.25">
      <c r="A446" s="1"/>
      <c r="B446" s="15"/>
      <c r="C446" s="26"/>
      <c r="D446" s="1"/>
      <c r="E446" s="1"/>
      <c r="F446" s="1"/>
      <c r="G446" s="1"/>
      <c r="H446" s="1"/>
      <c r="I446" s="1"/>
      <c r="J446" s="1"/>
      <c r="K446" s="26"/>
      <c r="L446" s="26"/>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row>
    <row r="447" spans="1:50" x14ac:dyDescent="0.25">
      <c r="D447" s="26"/>
      <c r="E447" s="26"/>
      <c r="F447" s="26"/>
      <c r="G447" s="26"/>
      <c r="H447" s="26"/>
      <c r="I447" s="26"/>
      <c r="J447" s="26"/>
      <c r="K447" s="26"/>
      <c r="L447" s="26"/>
    </row>
    <row r="448" spans="1:50" x14ac:dyDescent="0.25">
      <c r="D448" s="26"/>
      <c r="E448" s="26"/>
      <c r="F448" s="26"/>
      <c r="G448" s="26"/>
      <c r="H448" s="26"/>
      <c r="I448" s="26"/>
      <c r="J448" s="26"/>
      <c r="K448" s="26"/>
      <c r="L448" s="26"/>
    </row>
    <row r="449" spans="4:12" x14ac:dyDescent="0.25">
      <c r="D449" s="26"/>
      <c r="E449" s="26"/>
      <c r="F449" s="26"/>
      <c r="G449" s="26"/>
      <c r="H449" s="26"/>
      <c r="I449" s="26"/>
      <c r="J449" s="26"/>
      <c r="K449" s="26"/>
      <c r="L449" s="26"/>
    </row>
    <row r="450" spans="4:12" x14ac:dyDescent="0.25">
      <c r="D450" s="26"/>
      <c r="E450" s="26"/>
      <c r="F450" s="26"/>
      <c r="G450" s="26"/>
      <c r="H450" s="26"/>
      <c r="I450" s="26"/>
      <c r="J450" s="26"/>
      <c r="K450" s="26"/>
      <c r="L450" s="26"/>
    </row>
    <row r="451" spans="4:12" x14ac:dyDescent="0.25">
      <c r="D451" s="26"/>
      <c r="E451" s="26"/>
      <c r="F451" s="26"/>
      <c r="G451" s="26"/>
      <c r="H451" s="26"/>
      <c r="I451" s="26"/>
      <c r="J451" s="26"/>
      <c r="K451" s="26"/>
      <c r="L451" s="26"/>
    </row>
    <row r="452" spans="4:12" x14ac:dyDescent="0.25">
      <c r="D452" s="26"/>
      <c r="E452" s="26"/>
      <c r="F452" s="26"/>
      <c r="G452" s="26"/>
      <c r="H452" s="26"/>
      <c r="I452" s="26"/>
      <c r="J452" s="26"/>
      <c r="K452" s="26"/>
      <c r="L452" s="26"/>
    </row>
    <row r="453" spans="4:12" x14ac:dyDescent="0.25">
      <c r="D453" s="26"/>
      <c r="E453" s="26"/>
      <c r="F453" s="26"/>
      <c r="G453" s="26"/>
      <c r="H453" s="26"/>
      <c r="I453" s="26"/>
      <c r="J453" s="26"/>
      <c r="K453" s="26"/>
      <c r="L453" s="26"/>
    </row>
    <row r="454" spans="4:12" x14ac:dyDescent="0.25">
      <c r="D454" s="26"/>
      <c r="E454" s="26"/>
      <c r="F454" s="26"/>
      <c r="G454" s="26"/>
      <c r="H454" s="26"/>
      <c r="I454" s="26"/>
      <c r="J454" s="26"/>
      <c r="K454" s="26"/>
      <c r="L454" s="26"/>
    </row>
    <row r="455" spans="4:12" x14ac:dyDescent="0.25">
      <c r="D455" s="26"/>
      <c r="E455" s="26"/>
      <c r="F455" s="26"/>
      <c r="G455" s="26"/>
      <c r="H455" s="26"/>
      <c r="I455" s="26"/>
      <c r="J455" s="26"/>
      <c r="K455" s="26"/>
      <c r="L455" s="26"/>
    </row>
    <row r="456" spans="4:12" x14ac:dyDescent="0.25">
      <c r="D456" s="26"/>
      <c r="E456" s="26"/>
      <c r="F456" s="26"/>
      <c r="G456" s="26"/>
      <c r="H456" s="26"/>
      <c r="I456" s="26"/>
      <c r="J456" s="26"/>
      <c r="K456" s="26"/>
      <c r="L456" s="26"/>
    </row>
    <row r="457" spans="4:12" x14ac:dyDescent="0.25">
      <c r="D457" s="26"/>
      <c r="E457" s="26"/>
      <c r="F457" s="26"/>
      <c r="G457" s="26"/>
      <c r="H457" s="26"/>
      <c r="I457" s="26"/>
      <c r="J457" s="26"/>
      <c r="K457" s="26"/>
      <c r="L457" s="26"/>
    </row>
    <row r="458" spans="4:12" x14ac:dyDescent="0.25">
      <c r="D458" s="26"/>
      <c r="E458" s="26"/>
      <c r="F458" s="26"/>
      <c r="G458" s="26"/>
      <c r="H458" s="26"/>
      <c r="I458" s="26"/>
      <c r="J458" s="26"/>
      <c r="K458" s="26"/>
      <c r="L458" s="26"/>
    </row>
    <row r="459" spans="4:12" x14ac:dyDescent="0.25">
      <c r="D459" s="26"/>
      <c r="E459" s="26"/>
      <c r="F459" s="26"/>
      <c r="G459" s="26"/>
      <c r="H459" s="26"/>
      <c r="I459" s="26"/>
      <c r="J459" s="26"/>
      <c r="K459" s="26"/>
      <c r="L459" s="26"/>
    </row>
    <row r="460" spans="4:12" x14ac:dyDescent="0.25">
      <c r="D460" s="26"/>
      <c r="E460" s="26"/>
      <c r="F460" s="26"/>
      <c r="G460" s="26"/>
      <c r="H460" s="26"/>
      <c r="I460" s="26"/>
      <c r="J460" s="26"/>
      <c r="K460" s="26"/>
      <c r="L460" s="26"/>
    </row>
    <row r="461" spans="4:12" x14ac:dyDescent="0.25">
      <c r="D461" s="26"/>
      <c r="E461" s="26"/>
      <c r="F461" s="26"/>
      <c r="G461" s="26"/>
      <c r="H461" s="26"/>
      <c r="I461" s="26"/>
      <c r="J461" s="26"/>
      <c r="K461" s="26"/>
      <c r="L461" s="26"/>
    </row>
    <row r="462" spans="4:12" x14ac:dyDescent="0.25">
      <c r="D462" s="26"/>
      <c r="E462" s="26"/>
      <c r="F462" s="26"/>
      <c r="G462" s="26"/>
      <c r="H462" s="26"/>
      <c r="I462" s="26"/>
      <c r="J462" s="26"/>
      <c r="K462" s="26"/>
      <c r="L462" s="26"/>
    </row>
    <row r="463" spans="4:12" x14ac:dyDescent="0.25">
      <c r="D463" s="26"/>
      <c r="E463" s="26"/>
      <c r="F463" s="26"/>
      <c r="G463" s="26"/>
      <c r="H463" s="26"/>
      <c r="I463" s="26"/>
      <c r="J463" s="26"/>
      <c r="K463" s="26"/>
      <c r="L463" s="26"/>
    </row>
    <row r="464" spans="4:12" x14ac:dyDescent="0.25">
      <c r="D464" s="26"/>
      <c r="E464" s="26"/>
      <c r="F464" s="26"/>
      <c r="G464" s="26"/>
      <c r="H464" s="26"/>
      <c r="I464" s="26"/>
      <c r="J464" s="26"/>
      <c r="K464" s="26"/>
      <c r="L464" s="26"/>
    </row>
    <row r="465" spans="1:50" x14ac:dyDescent="0.25">
      <c r="D465" s="26"/>
      <c r="E465" s="26"/>
      <c r="F465" s="26"/>
      <c r="G465" s="26"/>
      <c r="H465" s="26"/>
      <c r="I465" s="26"/>
      <c r="J465" s="26"/>
      <c r="K465" s="26"/>
      <c r="L465" s="26"/>
    </row>
    <row r="466" spans="1:50" x14ac:dyDescent="0.25">
      <c r="D466" s="26"/>
      <c r="E466" s="26"/>
      <c r="F466" s="26"/>
      <c r="G466" s="26"/>
      <c r="H466" s="26"/>
      <c r="I466" s="26"/>
      <c r="J466" s="26"/>
      <c r="K466" s="26"/>
      <c r="L466" s="26"/>
    </row>
    <row r="467" spans="1:50" x14ac:dyDescent="0.25">
      <c r="D467" s="26"/>
      <c r="E467" s="26"/>
      <c r="F467" s="26"/>
      <c r="G467" s="26"/>
      <c r="H467" s="26"/>
      <c r="I467" s="26"/>
      <c r="J467" s="26"/>
      <c r="K467" s="26"/>
      <c r="L467" s="26"/>
    </row>
    <row r="468" spans="1:50" x14ac:dyDescent="0.25">
      <c r="D468" s="26"/>
      <c r="E468" s="26"/>
      <c r="F468" s="26"/>
      <c r="G468" s="26"/>
      <c r="H468" s="26"/>
      <c r="I468" s="26"/>
      <c r="J468" s="26"/>
      <c r="K468" s="26"/>
      <c r="L468" s="26"/>
    </row>
    <row r="469" spans="1:50" x14ac:dyDescent="0.25">
      <c r="D469" s="26"/>
      <c r="E469" s="26"/>
      <c r="F469" s="26"/>
      <c r="G469" s="26"/>
      <c r="H469" s="26"/>
      <c r="I469" s="26"/>
      <c r="J469" s="26"/>
      <c r="K469" s="26"/>
      <c r="L469" s="26"/>
    </row>
    <row r="470" spans="1:50" x14ac:dyDescent="0.25">
      <c r="D470" s="26"/>
      <c r="E470" s="26"/>
      <c r="F470" s="26"/>
      <c r="G470" s="26"/>
      <c r="H470" s="26"/>
      <c r="I470" s="26"/>
      <c r="J470" s="26"/>
      <c r="K470" s="26"/>
      <c r="L470" s="26"/>
    </row>
    <row r="471" spans="1:50" x14ac:dyDescent="0.25">
      <c r="D471" s="26"/>
      <c r="E471" s="26"/>
      <c r="F471" s="26"/>
      <c r="G471" s="26"/>
      <c r="H471" s="26"/>
      <c r="I471" s="26"/>
      <c r="J471" s="26"/>
      <c r="K471" s="26"/>
      <c r="L471" s="26"/>
    </row>
    <row r="472" spans="1:50" x14ac:dyDescent="0.25">
      <c r="D472" s="26"/>
      <c r="E472" s="26"/>
      <c r="F472" s="26"/>
      <c r="G472" s="26"/>
      <c r="H472" s="26"/>
      <c r="I472" s="26"/>
      <c r="J472" s="26"/>
      <c r="K472" s="26"/>
      <c r="L472" s="26"/>
    </row>
    <row r="473" spans="1:50" x14ac:dyDescent="0.25">
      <c r="D473" s="26"/>
      <c r="E473" s="26"/>
      <c r="F473" s="26"/>
      <c r="G473" s="26"/>
      <c r="H473" s="26"/>
      <c r="I473" s="26"/>
      <c r="J473" s="26"/>
      <c r="K473" s="26"/>
      <c r="L473" s="26"/>
    </row>
    <row r="474" spans="1:50" x14ac:dyDescent="0.25">
      <c r="D474" s="26"/>
      <c r="E474" s="26"/>
      <c r="F474" s="26"/>
      <c r="G474" s="26"/>
      <c r="H474" s="26"/>
      <c r="I474" s="26"/>
      <c r="J474" s="26"/>
      <c r="K474" s="26"/>
      <c r="L474" s="26"/>
    </row>
    <row r="475" spans="1:50" x14ac:dyDescent="0.25">
      <c r="D475" s="26"/>
      <c r="E475" s="26"/>
      <c r="F475" s="26"/>
      <c r="G475" s="26"/>
      <c r="H475" s="26"/>
      <c r="I475" s="26"/>
      <c r="J475" s="26"/>
      <c r="K475" s="26"/>
      <c r="L475" s="26"/>
    </row>
    <row r="476" spans="1:50" x14ac:dyDescent="0.25">
      <c r="D476" s="26"/>
      <c r="E476" s="26"/>
      <c r="F476" s="26"/>
      <c r="G476" s="26"/>
      <c r="H476" s="26"/>
      <c r="I476" s="26"/>
      <c r="J476" s="26"/>
      <c r="K476" s="26"/>
      <c r="L476" s="26"/>
    </row>
    <row r="477" spans="1:50" x14ac:dyDescent="0.25">
      <c r="D477" s="26"/>
      <c r="E477" s="26"/>
      <c r="F477" s="26"/>
      <c r="G477" s="26"/>
      <c r="H477" s="26"/>
      <c r="I477" s="26"/>
      <c r="J477" s="26"/>
      <c r="K477" s="26"/>
      <c r="L477" s="26"/>
    </row>
    <row r="478" spans="1:50" x14ac:dyDescent="0.25">
      <c r="D478" s="26"/>
      <c r="E478" s="26"/>
      <c r="F478" s="26"/>
      <c r="G478" s="26"/>
      <c r="H478" s="26"/>
      <c r="I478" s="26"/>
      <c r="J478" s="26"/>
      <c r="K478" s="26"/>
      <c r="L478" s="26"/>
    </row>
    <row r="479" spans="1:50" s="3" customFormat="1" x14ac:dyDescent="0.25">
      <c r="A479" s="1"/>
      <c r="B479" s="15"/>
      <c r="C479" s="26"/>
      <c r="D479" s="26"/>
      <c r="E479" s="26"/>
      <c r="F479" s="26"/>
      <c r="G479" s="26"/>
      <c r="H479" s="26"/>
      <c r="I479" s="26"/>
      <c r="J479" s="26"/>
      <c r="K479" s="26"/>
      <c r="L479" s="26"/>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2"/>
    </row>
    <row r="480" spans="1:50" x14ac:dyDescent="0.25">
      <c r="D480" s="26"/>
      <c r="E480" s="26"/>
      <c r="F480" s="26"/>
      <c r="G480" s="26"/>
      <c r="H480" s="26"/>
      <c r="I480" s="26"/>
      <c r="J480" s="26"/>
      <c r="K480" s="26"/>
      <c r="L480" s="26"/>
    </row>
    <row r="481" spans="1:50" x14ac:dyDescent="0.25">
      <c r="D481" s="26"/>
      <c r="E481" s="26"/>
      <c r="F481" s="26"/>
      <c r="G481" s="26"/>
      <c r="H481" s="26"/>
      <c r="I481" s="26"/>
      <c r="J481" s="26"/>
      <c r="K481" s="26"/>
      <c r="L481" s="26"/>
    </row>
    <row r="482" spans="1:50" x14ac:dyDescent="0.25">
      <c r="D482" s="26"/>
      <c r="E482" s="26"/>
      <c r="F482" s="26"/>
      <c r="G482" s="26"/>
      <c r="H482" s="26"/>
      <c r="I482" s="26"/>
      <c r="J482" s="26"/>
      <c r="K482" s="26"/>
      <c r="L482" s="26"/>
    </row>
    <row r="483" spans="1:50" x14ac:dyDescent="0.25">
      <c r="D483" s="26"/>
      <c r="E483" s="26"/>
      <c r="F483" s="26"/>
      <c r="G483" s="26"/>
      <c r="H483" s="26"/>
      <c r="I483" s="26"/>
      <c r="J483" s="26"/>
      <c r="K483" s="26"/>
      <c r="L483" s="26"/>
    </row>
    <row r="484" spans="1:50" x14ac:dyDescent="0.25">
      <c r="D484" s="26"/>
      <c r="E484" s="26"/>
      <c r="F484" s="26"/>
      <c r="G484" s="26"/>
      <c r="H484" s="26"/>
      <c r="I484" s="26"/>
      <c r="J484" s="26"/>
      <c r="K484" s="26"/>
      <c r="L484" s="26"/>
    </row>
    <row r="485" spans="1:50" x14ac:dyDescent="0.25">
      <c r="D485" s="26"/>
      <c r="E485" s="26"/>
      <c r="F485" s="26"/>
      <c r="G485" s="26"/>
      <c r="H485" s="26"/>
      <c r="I485" s="26"/>
      <c r="J485" s="26"/>
      <c r="K485" s="26"/>
      <c r="L485" s="26"/>
    </row>
    <row r="486" spans="1:50" x14ac:dyDescent="0.25">
      <c r="D486" s="26"/>
      <c r="E486" s="26"/>
      <c r="F486" s="26"/>
      <c r="G486" s="26"/>
      <c r="H486" s="26"/>
      <c r="I486" s="26"/>
      <c r="J486" s="26"/>
      <c r="K486" s="26"/>
      <c r="L486" s="26"/>
    </row>
    <row r="487" spans="1:50" s="3" customFormat="1" x14ac:dyDescent="0.25">
      <c r="A487" s="1"/>
      <c r="B487" s="15"/>
      <c r="C487" s="26"/>
      <c r="D487" s="26"/>
      <c r="E487" s="26"/>
      <c r="F487" s="26"/>
      <c r="G487" s="26"/>
      <c r="H487" s="26"/>
      <c r="I487" s="26"/>
      <c r="J487" s="26"/>
      <c r="K487" s="26"/>
      <c r="L487" s="26"/>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2"/>
    </row>
    <row r="488" spans="1:50" x14ac:dyDescent="0.25">
      <c r="D488" s="26"/>
      <c r="E488" s="26"/>
      <c r="F488" s="26"/>
      <c r="G488" s="26"/>
      <c r="H488" s="26"/>
      <c r="I488" s="26"/>
      <c r="J488" s="26"/>
      <c r="K488" s="26"/>
      <c r="L488" s="26"/>
    </row>
    <row r="489" spans="1:50" x14ac:dyDescent="0.25">
      <c r="D489" s="26"/>
      <c r="E489" s="26"/>
      <c r="F489" s="26"/>
      <c r="G489" s="26"/>
      <c r="H489" s="26"/>
      <c r="I489" s="26"/>
      <c r="J489" s="26"/>
      <c r="K489" s="26"/>
      <c r="L489" s="26"/>
    </row>
    <row r="490" spans="1:50" x14ac:dyDescent="0.25">
      <c r="D490" s="26"/>
      <c r="E490" s="26"/>
      <c r="F490" s="26"/>
      <c r="G490" s="26"/>
      <c r="H490" s="26"/>
      <c r="I490" s="26"/>
      <c r="J490" s="26"/>
      <c r="K490" s="26"/>
      <c r="L490" s="26"/>
    </row>
    <row r="491" spans="1:50" x14ac:dyDescent="0.25">
      <c r="D491" s="26"/>
      <c r="E491" s="26"/>
      <c r="F491" s="26"/>
      <c r="G491" s="26"/>
      <c r="H491" s="26"/>
      <c r="I491" s="26"/>
      <c r="J491" s="26"/>
      <c r="K491" s="26"/>
      <c r="L491" s="26"/>
    </row>
    <row r="492" spans="1:50" x14ac:dyDescent="0.25">
      <c r="D492" s="26"/>
      <c r="E492" s="26"/>
      <c r="F492" s="26"/>
      <c r="G492" s="26"/>
      <c r="H492" s="26"/>
      <c r="I492" s="26"/>
      <c r="J492" s="26"/>
      <c r="K492" s="26"/>
      <c r="L492" s="26"/>
    </row>
    <row r="493" spans="1:50" x14ac:dyDescent="0.25">
      <c r="D493" s="26"/>
      <c r="E493" s="26"/>
      <c r="F493" s="26"/>
      <c r="G493" s="26"/>
      <c r="H493" s="26"/>
      <c r="I493" s="26"/>
      <c r="J493" s="26"/>
      <c r="K493" s="26"/>
      <c r="L493" s="26"/>
    </row>
    <row r="494" spans="1:50" x14ac:dyDescent="0.25">
      <c r="D494" s="26"/>
      <c r="E494" s="26"/>
      <c r="F494" s="26"/>
      <c r="G494" s="26"/>
      <c r="H494" s="26"/>
      <c r="I494" s="26"/>
      <c r="J494" s="26"/>
      <c r="K494" s="26"/>
      <c r="L494" s="26"/>
    </row>
    <row r="495" spans="1:50" x14ac:dyDescent="0.25">
      <c r="D495" s="26"/>
      <c r="E495" s="26"/>
      <c r="F495" s="26"/>
      <c r="G495" s="26"/>
      <c r="H495" s="26"/>
      <c r="I495" s="26"/>
      <c r="J495" s="26"/>
      <c r="K495" s="26"/>
      <c r="L495" s="26"/>
    </row>
    <row r="496" spans="1:50" s="28" customFormat="1" x14ac:dyDescent="0.25">
      <c r="A496" s="1"/>
      <c r="B496" s="15"/>
      <c r="C496" s="26"/>
      <c r="D496" s="26"/>
      <c r="E496" s="26"/>
      <c r="F496" s="26"/>
      <c r="G496" s="26"/>
      <c r="H496" s="26"/>
      <c r="I496" s="26"/>
      <c r="J496" s="26"/>
      <c r="K496" s="26"/>
      <c r="L496" s="26"/>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4"/>
      <c r="AX496" s="27"/>
    </row>
    <row r="497" spans="1:48" x14ac:dyDescent="0.25">
      <c r="D497" s="26"/>
      <c r="E497" s="26"/>
      <c r="F497" s="26"/>
      <c r="G497" s="26"/>
      <c r="H497" s="26"/>
      <c r="I497" s="26"/>
      <c r="J497" s="26"/>
      <c r="K497" s="26"/>
      <c r="L497" s="26"/>
    </row>
    <row r="498" spans="1:48" s="4" customFormat="1" x14ac:dyDescent="0.25">
      <c r="A498" s="1"/>
      <c r="B498" s="15"/>
      <c r="C498" s="26"/>
      <c r="D498" s="26"/>
      <c r="E498" s="26"/>
      <c r="F498" s="26"/>
      <c r="G498" s="26"/>
      <c r="H498" s="26"/>
      <c r="I498" s="26"/>
      <c r="J498" s="26"/>
      <c r="K498" s="26"/>
      <c r="L498" s="26"/>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row>
    <row r="499" spans="1:48" s="4" customFormat="1" x14ac:dyDescent="0.25">
      <c r="A499" s="1"/>
      <c r="B499" s="15"/>
      <c r="C499" s="26"/>
      <c r="D499" s="26"/>
      <c r="E499" s="26"/>
      <c r="F499" s="26"/>
      <c r="G499" s="26"/>
      <c r="H499" s="26"/>
      <c r="I499" s="26"/>
      <c r="J499" s="26"/>
      <c r="K499" s="26"/>
      <c r="L499" s="26"/>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row>
    <row r="500" spans="1:48" s="4" customFormat="1" x14ac:dyDescent="0.25">
      <c r="A500" s="1"/>
      <c r="B500" s="15"/>
      <c r="C500" s="26"/>
      <c r="D500" s="26"/>
      <c r="E500" s="26"/>
      <c r="F500" s="26"/>
      <c r="G500" s="26"/>
      <c r="H500" s="26"/>
      <c r="I500" s="26"/>
      <c r="J500" s="26"/>
      <c r="K500" s="26"/>
      <c r="L500" s="26"/>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row>
    <row r="501" spans="1:48" s="4" customFormat="1" x14ac:dyDescent="0.25">
      <c r="A501" s="1"/>
      <c r="B501" s="15"/>
      <c r="C501" s="26"/>
      <c r="D501" s="26"/>
      <c r="E501" s="26"/>
      <c r="F501" s="26"/>
      <c r="G501" s="26"/>
      <c r="H501" s="26"/>
      <c r="I501" s="26"/>
      <c r="J501" s="26"/>
      <c r="K501" s="26"/>
      <c r="L501" s="26"/>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row>
    <row r="502" spans="1:48" s="4" customFormat="1" x14ac:dyDescent="0.25">
      <c r="A502" s="1"/>
      <c r="B502" s="15"/>
      <c r="C502" s="26"/>
      <c r="D502" s="26"/>
      <c r="E502" s="26"/>
      <c r="F502" s="26"/>
      <c r="G502" s="26"/>
      <c r="H502" s="26"/>
      <c r="I502" s="26"/>
      <c r="J502" s="26"/>
      <c r="K502" s="26"/>
      <c r="L502" s="26"/>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row>
    <row r="503" spans="1:48" x14ac:dyDescent="0.25">
      <c r="D503" s="26"/>
      <c r="E503" s="26"/>
      <c r="F503" s="26"/>
      <c r="G503" s="26"/>
      <c r="H503" s="26"/>
      <c r="I503" s="26"/>
      <c r="J503" s="26"/>
      <c r="K503" s="26"/>
      <c r="L503" s="26"/>
    </row>
    <row r="504" spans="1:48" x14ac:dyDescent="0.25">
      <c r="D504" s="26"/>
      <c r="E504" s="26"/>
      <c r="F504" s="26"/>
      <c r="G504" s="26"/>
      <c r="H504" s="26"/>
      <c r="I504" s="26"/>
      <c r="J504" s="26"/>
      <c r="K504" s="26"/>
      <c r="L504" s="26"/>
    </row>
    <row r="505" spans="1:48" x14ac:dyDescent="0.25">
      <c r="D505" s="26"/>
      <c r="E505" s="26"/>
      <c r="F505" s="26"/>
      <c r="G505" s="26"/>
      <c r="H505" s="26"/>
      <c r="I505" s="26"/>
      <c r="J505" s="26"/>
      <c r="K505" s="26"/>
      <c r="L505" s="26"/>
    </row>
    <row r="506" spans="1:48" x14ac:dyDescent="0.25">
      <c r="D506" s="26"/>
      <c r="E506" s="26"/>
      <c r="F506" s="26"/>
      <c r="G506" s="26"/>
      <c r="H506" s="26"/>
      <c r="I506" s="26"/>
      <c r="J506" s="26"/>
      <c r="K506" s="26"/>
      <c r="L506" s="26"/>
    </row>
    <row r="507" spans="1:48" x14ac:dyDescent="0.25">
      <c r="D507" s="26"/>
      <c r="E507" s="26"/>
      <c r="F507" s="26"/>
      <c r="G507" s="26"/>
      <c r="H507" s="26"/>
      <c r="I507" s="26"/>
      <c r="J507" s="26"/>
      <c r="K507" s="26"/>
      <c r="L507" s="26"/>
    </row>
    <row r="508" spans="1:48" x14ac:dyDescent="0.25">
      <c r="D508" s="26"/>
      <c r="E508" s="26"/>
      <c r="F508" s="26"/>
      <c r="G508" s="26"/>
      <c r="H508" s="26"/>
      <c r="I508" s="26"/>
      <c r="J508" s="26"/>
      <c r="K508" s="26"/>
      <c r="L508" s="26"/>
    </row>
    <row r="509" spans="1:48" x14ac:dyDescent="0.25">
      <c r="D509" s="26"/>
      <c r="E509" s="26"/>
      <c r="F509" s="26"/>
      <c r="G509" s="26"/>
      <c r="H509" s="26"/>
      <c r="I509" s="26"/>
      <c r="J509" s="26"/>
      <c r="K509" s="26"/>
      <c r="L509" s="26"/>
    </row>
    <row r="510" spans="1:48" x14ac:dyDescent="0.25">
      <c r="D510" s="26"/>
      <c r="E510" s="26"/>
      <c r="F510" s="26"/>
      <c r="G510" s="26"/>
      <c r="H510" s="26"/>
      <c r="I510" s="26"/>
      <c r="J510" s="26"/>
      <c r="K510" s="26"/>
      <c r="L510" s="26"/>
    </row>
    <row r="511" spans="1:48" x14ac:dyDescent="0.25">
      <c r="D511" s="26"/>
      <c r="E511" s="26"/>
      <c r="F511" s="26"/>
      <c r="G511" s="26"/>
      <c r="H511" s="26"/>
      <c r="I511" s="26"/>
      <c r="J511" s="26"/>
      <c r="K511" s="26"/>
      <c r="L511" s="26"/>
    </row>
    <row r="512" spans="1:48" x14ac:dyDescent="0.25">
      <c r="D512" s="26"/>
      <c r="E512" s="26"/>
      <c r="F512" s="26"/>
      <c r="G512" s="26"/>
      <c r="H512" s="26"/>
      <c r="I512" s="26"/>
      <c r="J512" s="26"/>
      <c r="K512" s="26"/>
      <c r="L512" s="26"/>
    </row>
    <row r="513" spans="4:12" x14ac:dyDescent="0.25">
      <c r="D513" s="26"/>
      <c r="E513" s="26"/>
      <c r="F513" s="26"/>
      <c r="G513" s="26"/>
      <c r="H513" s="26"/>
      <c r="I513" s="26"/>
      <c r="J513" s="26"/>
      <c r="K513" s="26"/>
      <c r="L513" s="26"/>
    </row>
    <row r="514" spans="4:12" x14ac:dyDescent="0.25">
      <c r="D514" s="26"/>
      <c r="E514" s="26"/>
      <c r="F514" s="26"/>
      <c r="G514" s="26"/>
      <c r="H514" s="26"/>
      <c r="I514" s="26"/>
      <c r="J514" s="26"/>
      <c r="K514" s="26"/>
      <c r="L514" s="26"/>
    </row>
    <row r="515" spans="4:12" x14ac:dyDescent="0.25">
      <c r="D515" s="26"/>
      <c r="E515" s="26"/>
      <c r="F515" s="26"/>
      <c r="G515" s="26"/>
      <c r="H515" s="26"/>
      <c r="I515" s="26"/>
      <c r="J515" s="26"/>
      <c r="K515" s="26"/>
      <c r="L515" s="26"/>
    </row>
    <row r="516" spans="4:12" x14ac:dyDescent="0.25">
      <c r="D516" s="26"/>
      <c r="E516" s="26"/>
      <c r="F516" s="26"/>
      <c r="G516" s="26"/>
      <c r="H516" s="26"/>
      <c r="I516" s="26"/>
      <c r="J516" s="26"/>
      <c r="K516" s="26"/>
      <c r="L516" s="26"/>
    </row>
    <row r="517" spans="4:12" x14ac:dyDescent="0.25">
      <c r="D517" s="26"/>
      <c r="E517" s="26"/>
      <c r="F517" s="26"/>
      <c r="G517" s="26"/>
      <c r="H517" s="26"/>
      <c r="I517" s="26"/>
      <c r="J517" s="26"/>
      <c r="K517" s="26"/>
      <c r="L517" s="26"/>
    </row>
    <row r="518" spans="4:12" x14ac:dyDescent="0.25">
      <c r="D518" s="26"/>
      <c r="E518" s="26"/>
      <c r="F518" s="26"/>
      <c r="G518" s="26"/>
      <c r="H518" s="26"/>
      <c r="I518" s="26"/>
      <c r="J518" s="26"/>
      <c r="K518" s="26"/>
      <c r="L518" s="26"/>
    </row>
    <row r="519" spans="4:12" x14ac:dyDescent="0.25">
      <c r="D519" s="26"/>
      <c r="E519" s="26"/>
      <c r="F519" s="26"/>
      <c r="G519" s="26"/>
      <c r="H519" s="26"/>
      <c r="I519" s="26"/>
      <c r="J519" s="26"/>
      <c r="K519" s="26"/>
      <c r="L519" s="26"/>
    </row>
    <row r="520" spans="4:12" x14ac:dyDescent="0.25">
      <c r="D520" s="26"/>
      <c r="E520" s="26"/>
      <c r="F520" s="26"/>
      <c r="G520" s="26"/>
      <c r="H520" s="26"/>
      <c r="I520" s="26"/>
      <c r="J520" s="26"/>
      <c r="K520" s="26"/>
      <c r="L520" s="26"/>
    </row>
    <row r="521" spans="4:12" x14ac:dyDescent="0.25">
      <c r="D521" s="26"/>
      <c r="E521" s="26"/>
      <c r="F521" s="26"/>
      <c r="G521" s="26"/>
      <c r="H521" s="26"/>
      <c r="I521" s="26"/>
      <c r="J521" s="26"/>
      <c r="K521" s="26"/>
      <c r="L521" s="26"/>
    </row>
    <row r="522" spans="4:12" x14ac:dyDescent="0.25">
      <c r="D522" s="26"/>
      <c r="E522" s="26"/>
      <c r="F522" s="26"/>
      <c r="G522" s="26"/>
      <c r="H522" s="26"/>
      <c r="I522" s="26"/>
      <c r="J522" s="26"/>
      <c r="K522" s="26"/>
      <c r="L522" s="26"/>
    </row>
    <row r="523" spans="4:12" x14ac:dyDescent="0.25">
      <c r="D523" s="26"/>
      <c r="E523" s="26"/>
      <c r="F523" s="26"/>
      <c r="G523" s="26"/>
      <c r="H523" s="26"/>
      <c r="I523" s="26"/>
      <c r="J523" s="26"/>
      <c r="K523" s="26"/>
      <c r="L523" s="26"/>
    </row>
    <row r="524" spans="4:12" x14ac:dyDescent="0.25">
      <c r="D524" s="26"/>
      <c r="E524" s="26"/>
      <c r="F524" s="26"/>
      <c r="G524" s="26"/>
      <c r="H524" s="26"/>
      <c r="I524" s="26"/>
      <c r="J524" s="26"/>
      <c r="K524" s="26"/>
      <c r="L524" s="26"/>
    </row>
    <row r="525" spans="4:12" x14ac:dyDescent="0.25">
      <c r="D525" s="26"/>
      <c r="E525" s="26"/>
      <c r="F525" s="26"/>
      <c r="G525" s="26"/>
      <c r="H525" s="26"/>
      <c r="I525" s="26"/>
      <c r="J525" s="26"/>
      <c r="K525" s="26"/>
      <c r="L525" s="26"/>
    </row>
    <row r="526" spans="4:12" x14ac:dyDescent="0.25">
      <c r="D526" s="26"/>
      <c r="E526" s="26"/>
      <c r="F526" s="26"/>
      <c r="G526" s="26"/>
      <c r="H526" s="26"/>
      <c r="I526" s="26"/>
      <c r="J526" s="26"/>
      <c r="K526" s="26"/>
      <c r="L526" s="26"/>
    </row>
    <row r="527" spans="4:12" x14ac:dyDescent="0.25">
      <c r="D527" s="26"/>
      <c r="E527" s="26"/>
      <c r="F527" s="26"/>
      <c r="G527" s="26"/>
      <c r="H527" s="26"/>
      <c r="I527" s="26"/>
      <c r="J527" s="26"/>
      <c r="K527" s="26"/>
      <c r="L527" s="26"/>
    </row>
    <row r="528" spans="4:12" x14ac:dyDescent="0.25">
      <c r="D528" s="26"/>
      <c r="E528" s="26"/>
      <c r="F528" s="26"/>
      <c r="G528" s="26"/>
      <c r="H528" s="26"/>
      <c r="I528" s="26"/>
      <c r="J528" s="26"/>
      <c r="K528" s="26"/>
      <c r="L528" s="26"/>
    </row>
    <row r="529" spans="4:12" x14ac:dyDescent="0.25">
      <c r="D529" s="26"/>
      <c r="E529" s="26"/>
      <c r="F529" s="26"/>
      <c r="G529" s="26"/>
      <c r="H529" s="26"/>
      <c r="I529" s="26"/>
      <c r="J529" s="26"/>
      <c r="K529" s="26"/>
      <c r="L529" s="26"/>
    </row>
    <row r="530" spans="4:12" x14ac:dyDescent="0.25">
      <c r="D530" s="26"/>
      <c r="E530" s="26"/>
      <c r="F530" s="26"/>
      <c r="G530" s="26"/>
      <c r="H530" s="26"/>
      <c r="I530" s="26"/>
      <c r="J530" s="26"/>
      <c r="K530" s="26"/>
      <c r="L530" s="26"/>
    </row>
    <row r="531" spans="4:12" x14ac:dyDescent="0.25">
      <c r="D531" s="26"/>
      <c r="E531" s="26"/>
      <c r="F531" s="26"/>
      <c r="G531" s="26"/>
      <c r="H531" s="26"/>
      <c r="I531" s="26"/>
      <c r="J531" s="26"/>
      <c r="K531" s="26"/>
      <c r="L531" s="26"/>
    </row>
    <row r="532" spans="4:12" x14ac:dyDescent="0.25">
      <c r="D532" s="26"/>
      <c r="E532" s="26"/>
      <c r="F532" s="26"/>
      <c r="G532" s="26"/>
      <c r="H532" s="26"/>
      <c r="I532" s="26"/>
      <c r="J532" s="26"/>
      <c r="K532" s="26"/>
      <c r="L532" s="26"/>
    </row>
    <row r="533" spans="4:12" x14ac:dyDescent="0.25">
      <c r="D533" s="26"/>
      <c r="E533" s="26"/>
      <c r="F533" s="26"/>
      <c r="G533" s="26"/>
      <c r="H533" s="26"/>
      <c r="I533" s="26"/>
      <c r="J533" s="26"/>
      <c r="K533" s="26"/>
      <c r="L533" s="26"/>
    </row>
    <row r="534" spans="4:12" x14ac:dyDescent="0.25">
      <c r="D534" s="26"/>
      <c r="E534" s="26"/>
      <c r="F534" s="26"/>
      <c r="G534" s="26"/>
      <c r="H534" s="26"/>
      <c r="I534" s="26"/>
      <c r="J534" s="26"/>
      <c r="K534" s="26"/>
      <c r="L534" s="26"/>
    </row>
    <row r="535" spans="4:12" x14ac:dyDescent="0.25">
      <c r="D535" s="26"/>
      <c r="E535" s="26"/>
      <c r="F535" s="26"/>
      <c r="G535" s="26"/>
      <c r="H535" s="26"/>
      <c r="I535" s="26"/>
      <c r="J535" s="26"/>
      <c r="K535" s="26"/>
      <c r="L535" s="26"/>
    </row>
    <row r="536" spans="4:12" x14ac:dyDescent="0.25">
      <c r="D536" s="26"/>
      <c r="E536" s="26"/>
      <c r="F536" s="26"/>
      <c r="G536" s="26"/>
      <c r="H536" s="26"/>
      <c r="I536" s="26"/>
      <c r="J536" s="26"/>
      <c r="K536" s="26"/>
      <c r="L536" s="26"/>
    </row>
    <row r="537" spans="4:12" x14ac:dyDescent="0.25">
      <c r="D537" s="26"/>
      <c r="E537" s="26"/>
      <c r="F537" s="26"/>
      <c r="G537" s="26"/>
      <c r="H537" s="26"/>
      <c r="I537" s="26"/>
      <c r="J537" s="26"/>
      <c r="K537" s="26"/>
      <c r="L537" s="26"/>
    </row>
    <row r="538" spans="4:12" x14ac:dyDescent="0.25">
      <c r="D538" s="26"/>
      <c r="E538" s="26"/>
      <c r="F538" s="26"/>
      <c r="G538" s="26"/>
      <c r="H538" s="26"/>
      <c r="I538" s="26"/>
      <c r="J538" s="26"/>
      <c r="K538" s="26"/>
      <c r="L538" s="26"/>
    </row>
    <row r="539" spans="4:12" x14ac:dyDescent="0.25">
      <c r="D539" s="26"/>
      <c r="E539" s="26"/>
      <c r="F539" s="26"/>
      <c r="G539" s="26"/>
      <c r="H539" s="26"/>
      <c r="I539" s="26"/>
      <c r="J539" s="26"/>
      <c r="K539" s="26"/>
      <c r="L539" s="26"/>
    </row>
    <row r="540" spans="4:12" x14ac:dyDescent="0.25">
      <c r="D540" s="26"/>
      <c r="E540" s="26"/>
      <c r="F540" s="26"/>
      <c r="G540" s="26"/>
      <c r="H540" s="26"/>
      <c r="I540" s="26"/>
      <c r="J540" s="26"/>
      <c r="K540" s="26"/>
      <c r="L540" s="26"/>
    </row>
    <row r="541" spans="4:12" x14ac:dyDescent="0.25">
      <c r="D541" s="26"/>
      <c r="E541" s="26"/>
      <c r="F541" s="26"/>
      <c r="G541" s="26"/>
      <c r="H541" s="26"/>
      <c r="I541" s="26"/>
      <c r="J541" s="26"/>
      <c r="K541" s="26"/>
      <c r="L541" s="26"/>
    </row>
    <row r="542" spans="4:12" x14ac:dyDescent="0.25">
      <c r="D542" s="26"/>
      <c r="E542" s="26"/>
      <c r="F542" s="26"/>
      <c r="G542" s="26"/>
      <c r="H542" s="26"/>
      <c r="I542" s="26"/>
      <c r="J542" s="26"/>
      <c r="K542" s="26"/>
      <c r="L542" s="26"/>
    </row>
    <row r="543" spans="4:12" x14ac:dyDescent="0.25">
      <c r="D543" s="26"/>
      <c r="E543" s="26"/>
      <c r="F543" s="26"/>
      <c r="G543" s="26"/>
      <c r="H543" s="26"/>
      <c r="I543" s="26"/>
      <c r="J543" s="26"/>
      <c r="K543" s="26"/>
      <c r="L543" s="26"/>
    </row>
    <row r="544" spans="4:12" x14ac:dyDescent="0.25">
      <c r="D544" s="26"/>
      <c r="E544" s="26"/>
      <c r="F544" s="26"/>
      <c r="G544" s="26"/>
      <c r="H544" s="26"/>
      <c r="I544" s="26"/>
      <c r="J544" s="26"/>
      <c r="K544" s="26"/>
      <c r="L544" s="26"/>
    </row>
    <row r="545" spans="4:12" x14ac:dyDescent="0.25">
      <c r="D545" s="26"/>
      <c r="E545" s="26"/>
      <c r="F545" s="26"/>
      <c r="G545" s="26"/>
      <c r="H545" s="26"/>
      <c r="I545" s="26"/>
      <c r="J545" s="26"/>
      <c r="K545" s="26"/>
      <c r="L545" s="26"/>
    </row>
    <row r="546" spans="4:12" x14ac:dyDescent="0.25">
      <c r="D546" s="26"/>
      <c r="E546" s="26"/>
      <c r="F546" s="26"/>
      <c r="G546" s="26"/>
      <c r="H546" s="26"/>
      <c r="I546" s="26"/>
      <c r="J546" s="26"/>
      <c r="K546" s="26"/>
      <c r="L546" s="26"/>
    </row>
    <row r="547" spans="4:12" x14ac:dyDescent="0.25">
      <c r="D547" s="26"/>
      <c r="E547" s="26"/>
      <c r="F547" s="26"/>
      <c r="G547" s="26"/>
      <c r="H547" s="26"/>
      <c r="I547" s="26"/>
      <c r="J547" s="26"/>
      <c r="K547" s="26"/>
      <c r="L547" s="26"/>
    </row>
    <row r="548" spans="4:12" x14ac:dyDescent="0.25">
      <c r="D548" s="26"/>
      <c r="E548" s="26"/>
      <c r="F548" s="26"/>
      <c r="G548" s="26"/>
      <c r="H548" s="26"/>
      <c r="I548" s="26"/>
      <c r="J548" s="26"/>
      <c r="K548" s="26"/>
      <c r="L548" s="26"/>
    </row>
    <row r="549" spans="4:12" x14ac:dyDescent="0.25">
      <c r="D549" s="26"/>
      <c r="E549" s="26"/>
      <c r="F549" s="26"/>
      <c r="G549" s="26"/>
      <c r="H549" s="26"/>
      <c r="I549" s="26"/>
      <c r="J549" s="26"/>
      <c r="K549" s="26"/>
      <c r="L549" s="26"/>
    </row>
    <row r="550" spans="4:12" x14ac:dyDescent="0.25">
      <c r="D550" s="26"/>
      <c r="E550" s="26"/>
      <c r="F550" s="26"/>
      <c r="G550" s="26"/>
      <c r="H550" s="26"/>
      <c r="I550" s="26"/>
      <c r="J550" s="26"/>
      <c r="K550" s="26"/>
      <c r="L550" s="26"/>
    </row>
    <row r="551" spans="4:12" x14ac:dyDescent="0.25">
      <c r="D551" s="26"/>
      <c r="E551" s="26"/>
      <c r="F551" s="26"/>
      <c r="G551" s="26"/>
      <c r="H551" s="26"/>
      <c r="I551" s="26"/>
      <c r="J551" s="26"/>
      <c r="K551" s="26"/>
      <c r="L551" s="26"/>
    </row>
    <row r="552" spans="4:12" x14ac:dyDescent="0.25">
      <c r="D552" s="26"/>
      <c r="E552" s="26"/>
      <c r="F552" s="26"/>
      <c r="G552" s="26"/>
      <c r="H552" s="26"/>
      <c r="I552" s="26"/>
      <c r="J552" s="26"/>
      <c r="K552" s="26"/>
      <c r="L552" s="26"/>
    </row>
    <row r="553" spans="4:12" x14ac:dyDescent="0.25">
      <c r="D553" s="26"/>
      <c r="E553" s="26"/>
      <c r="F553" s="26"/>
      <c r="G553" s="26"/>
      <c r="H553" s="26"/>
      <c r="I553" s="26"/>
      <c r="J553" s="26"/>
      <c r="K553" s="26"/>
      <c r="L553" s="26"/>
    </row>
    <row r="554" spans="4:12" x14ac:dyDescent="0.25">
      <c r="D554" s="26"/>
      <c r="E554" s="26"/>
      <c r="F554" s="26"/>
      <c r="G554" s="26"/>
      <c r="H554" s="26"/>
      <c r="I554" s="26"/>
      <c r="J554" s="26"/>
      <c r="K554" s="26"/>
      <c r="L554" s="26"/>
    </row>
    <row r="555" spans="4:12" x14ac:dyDescent="0.25">
      <c r="D555" s="26"/>
      <c r="E555" s="26"/>
      <c r="F555" s="26"/>
      <c r="G555" s="26"/>
      <c r="H555" s="26"/>
      <c r="I555" s="26"/>
      <c r="J555" s="26"/>
      <c r="K555" s="26"/>
      <c r="L555" s="26"/>
    </row>
    <row r="556" spans="4:12" x14ac:dyDescent="0.25">
      <c r="D556" s="26"/>
      <c r="E556" s="26"/>
      <c r="F556" s="26"/>
      <c r="G556" s="26"/>
      <c r="H556" s="26"/>
      <c r="I556" s="26"/>
      <c r="J556" s="26"/>
      <c r="K556" s="26"/>
      <c r="L556" s="26"/>
    </row>
    <row r="557" spans="4:12" x14ac:dyDescent="0.25">
      <c r="D557" s="26"/>
      <c r="E557" s="26"/>
      <c r="F557" s="26"/>
      <c r="G557" s="26"/>
      <c r="H557" s="26"/>
      <c r="I557" s="26"/>
      <c r="J557" s="26"/>
      <c r="K557" s="26"/>
      <c r="L557" s="26"/>
    </row>
    <row r="558" spans="4:12" x14ac:dyDescent="0.25">
      <c r="D558" s="26"/>
      <c r="E558" s="26"/>
      <c r="F558" s="26"/>
      <c r="G558" s="26"/>
      <c r="H558" s="26"/>
      <c r="I558" s="26"/>
      <c r="J558" s="26"/>
      <c r="K558" s="26"/>
      <c r="L558" s="26"/>
    </row>
    <row r="559" spans="4:12" x14ac:dyDescent="0.25">
      <c r="D559" s="26"/>
      <c r="E559" s="26"/>
      <c r="F559" s="26"/>
      <c r="G559" s="26"/>
      <c r="H559" s="26"/>
      <c r="I559" s="26"/>
      <c r="J559" s="26"/>
      <c r="K559" s="26"/>
      <c r="L559" s="26"/>
    </row>
    <row r="560" spans="4:12" x14ac:dyDescent="0.25">
      <c r="D560" s="26"/>
      <c r="E560" s="26"/>
      <c r="F560" s="26"/>
      <c r="G560" s="26"/>
      <c r="H560" s="26"/>
      <c r="I560" s="26"/>
      <c r="J560" s="26"/>
      <c r="K560" s="26"/>
      <c r="L560" s="26"/>
    </row>
    <row r="561" spans="4:12" x14ac:dyDescent="0.25">
      <c r="D561" s="26"/>
      <c r="E561" s="26"/>
      <c r="F561" s="26"/>
      <c r="G561" s="26"/>
      <c r="H561" s="26"/>
      <c r="I561" s="26"/>
      <c r="J561" s="26"/>
      <c r="K561" s="26"/>
      <c r="L561" s="26"/>
    </row>
    <row r="562" spans="4:12" x14ac:dyDescent="0.25">
      <c r="D562" s="26"/>
      <c r="E562" s="26"/>
      <c r="F562" s="26"/>
      <c r="G562" s="26"/>
      <c r="H562" s="26"/>
      <c r="I562" s="26"/>
      <c r="J562" s="26"/>
      <c r="K562" s="26"/>
      <c r="L562" s="26"/>
    </row>
    <row r="563" spans="4:12" x14ac:dyDescent="0.25">
      <c r="D563" s="26"/>
      <c r="E563" s="26"/>
      <c r="F563" s="26"/>
      <c r="G563" s="26"/>
      <c r="H563" s="26"/>
      <c r="I563" s="26"/>
      <c r="J563" s="26"/>
      <c r="K563" s="26"/>
      <c r="L563" s="26"/>
    </row>
    <row r="564" spans="4:12" x14ac:dyDescent="0.25">
      <c r="D564" s="26"/>
      <c r="E564" s="26"/>
      <c r="F564" s="26"/>
      <c r="G564" s="26"/>
      <c r="H564" s="26"/>
      <c r="I564" s="26"/>
      <c r="J564" s="26"/>
      <c r="K564" s="26"/>
      <c r="L564" s="26"/>
    </row>
    <row r="565" spans="4:12" x14ac:dyDescent="0.25">
      <c r="D565" s="26"/>
      <c r="E565" s="26"/>
      <c r="F565" s="26"/>
      <c r="G565" s="26"/>
      <c r="H565" s="26"/>
      <c r="I565" s="26"/>
      <c r="J565" s="26"/>
      <c r="K565" s="26"/>
      <c r="L565" s="26"/>
    </row>
    <row r="566" spans="4:12" x14ac:dyDescent="0.25">
      <c r="D566" s="26"/>
      <c r="E566" s="26"/>
      <c r="F566" s="26"/>
      <c r="G566" s="26"/>
      <c r="H566" s="26"/>
      <c r="I566" s="26"/>
      <c r="J566" s="26"/>
      <c r="K566" s="26"/>
      <c r="L566" s="26"/>
    </row>
    <row r="567" spans="4:12" x14ac:dyDescent="0.25">
      <c r="D567" s="26"/>
      <c r="E567" s="26"/>
      <c r="F567" s="26"/>
      <c r="G567" s="26"/>
      <c r="H567" s="26"/>
      <c r="I567" s="26"/>
      <c r="J567" s="26"/>
      <c r="K567" s="26"/>
      <c r="L567" s="26"/>
    </row>
    <row r="568" spans="4:12" x14ac:dyDescent="0.25">
      <c r="D568" s="26"/>
      <c r="E568" s="26"/>
      <c r="F568" s="26"/>
      <c r="G568" s="26"/>
      <c r="H568" s="26"/>
      <c r="I568" s="26"/>
      <c r="J568" s="26"/>
      <c r="K568" s="26"/>
      <c r="L568" s="26"/>
    </row>
    <row r="569" spans="4:12" x14ac:dyDescent="0.25">
      <c r="D569" s="26"/>
      <c r="E569" s="26"/>
      <c r="F569" s="26"/>
      <c r="G569" s="26"/>
      <c r="H569" s="26"/>
      <c r="I569" s="26"/>
      <c r="J569" s="26"/>
      <c r="K569" s="26"/>
      <c r="L569" s="26"/>
    </row>
    <row r="570" spans="4:12" x14ac:dyDescent="0.25">
      <c r="D570" s="26"/>
      <c r="E570" s="26"/>
      <c r="F570" s="26"/>
      <c r="G570" s="26"/>
      <c r="H570" s="26"/>
      <c r="I570" s="26"/>
      <c r="J570" s="26"/>
      <c r="K570" s="26"/>
      <c r="L570" s="26"/>
    </row>
    <row r="571" spans="4:12" x14ac:dyDescent="0.25">
      <c r="D571" s="26"/>
      <c r="E571" s="26"/>
      <c r="F571" s="26"/>
      <c r="G571" s="26"/>
      <c r="H571" s="26"/>
      <c r="I571" s="26"/>
      <c r="J571" s="26"/>
      <c r="K571" s="26"/>
      <c r="L571" s="26"/>
    </row>
    <row r="572" spans="4:12" x14ac:dyDescent="0.25">
      <c r="D572" s="26"/>
      <c r="E572" s="26"/>
      <c r="F572" s="26"/>
      <c r="G572" s="26"/>
      <c r="H572" s="26"/>
      <c r="I572" s="26"/>
      <c r="J572" s="26"/>
      <c r="K572" s="26"/>
      <c r="L572" s="26"/>
    </row>
    <row r="573" spans="4:12" x14ac:dyDescent="0.25">
      <c r="D573" s="26"/>
      <c r="E573" s="26"/>
      <c r="F573" s="26"/>
      <c r="G573" s="26"/>
      <c r="H573" s="26"/>
      <c r="I573" s="26"/>
      <c r="J573" s="26"/>
      <c r="K573" s="26"/>
      <c r="L573" s="26"/>
    </row>
    <row r="574" spans="4:12" x14ac:dyDescent="0.25">
      <c r="D574" s="26"/>
      <c r="E574" s="26"/>
      <c r="F574" s="26"/>
      <c r="G574" s="26"/>
      <c r="H574" s="26"/>
      <c r="I574" s="26"/>
      <c r="J574" s="26"/>
      <c r="K574" s="26"/>
      <c r="L574" s="26"/>
    </row>
    <row r="575" spans="4:12" x14ac:dyDescent="0.25">
      <c r="D575" s="26"/>
      <c r="E575" s="26"/>
      <c r="F575" s="26"/>
      <c r="G575" s="26"/>
      <c r="H575" s="26"/>
      <c r="I575" s="26"/>
      <c r="J575" s="26"/>
      <c r="K575" s="26"/>
      <c r="L575" s="26"/>
    </row>
    <row r="576" spans="4:12" x14ac:dyDescent="0.25">
      <c r="D576" s="26"/>
      <c r="E576" s="26"/>
      <c r="F576" s="26"/>
      <c r="G576" s="26"/>
      <c r="H576" s="26"/>
      <c r="I576" s="26"/>
      <c r="J576" s="26"/>
      <c r="K576" s="26"/>
      <c r="L576" s="26"/>
    </row>
    <row r="577" spans="4:12" x14ac:dyDescent="0.25">
      <c r="D577" s="26"/>
      <c r="E577" s="26"/>
      <c r="F577" s="26"/>
      <c r="G577" s="26"/>
      <c r="H577" s="26"/>
      <c r="I577" s="26"/>
      <c r="J577" s="26"/>
      <c r="K577" s="26"/>
      <c r="L577" s="26"/>
    </row>
    <row r="578" spans="4:12" x14ac:dyDescent="0.25">
      <c r="D578" s="26"/>
      <c r="E578" s="26"/>
      <c r="F578" s="26"/>
      <c r="G578" s="26"/>
      <c r="H578" s="26"/>
      <c r="I578" s="26"/>
      <c r="J578" s="26"/>
      <c r="K578" s="26"/>
      <c r="L578" s="26"/>
    </row>
    <row r="579" spans="4:12" x14ac:dyDescent="0.25">
      <c r="D579" s="26"/>
      <c r="E579" s="26"/>
      <c r="F579" s="26"/>
      <c r="G579" s="26"/>
      <c r="H579" s="26"/>
      <c r="I579" s="26"/>
      <c r="J579" s="26"/>
      <c r="K579" s="26"/>
      <c r="L579" s="26"/>
    </row>
    <row r="580" spans="4:12" x14ac:dyDescent="0.25">
      <c r="D580" s="26"/>
      <c r="E580" s="26"/>
      <c r="F580" s="26"/>
      <c r="G580" s="26"/>
      <c r="H580" s="26"/>
      <c r="I580" s="26"/>
      <c r="J580" s="26"/>
      <c r="K580" s="26"/>
      <c r="L580" s="26"/>
    </row>
    <row r="581" spans="4:12" x14ac:dyDescent="0.25">
      <c r="D581" s="26"/>
      <c r="E581" s="26"/>
      <c r="F581" s="26"/>
      <c r="G581" s="26"/>
      <c r="H581" s="26"/>
      <c r="I581" s="26"/>
      <c r="J581" s="26"/>
      <c r="K581" s="26"/>
      <c r="L581" s="26"/>
    </row>
    <row r="582" spans="4:12" x14ac:dyDescent="0.25">
      <c r="D582" s="26"/>
      <c r="E582" s="26"/>
      <c r="F582" s="26"/>
      <c r="G582" s="26"/>
      <c r="H582" s="26"/>
      <c r="I582" s="26"/>
      <c r="J582" s="26"/>
      <c r="K582" s="26"/>
      <c r="L582" s="26"/>
    </row>
    <row r="583" spans="4:12" x14ac:dyDescent="0.25">
      <c r="D583" s="26"/>
      <c r="E583" s="26"/>
      <c r="F583" s="26"/>
      <c r="G583" s="26"/>
      <c r="H583" s="26"/>
      <c r="I583" s="26"/>
      <c r="J583" s="26"/>
      <c r="K583" s="26"/>
      <c r="L583" s="26"/>
    </row>
    <row r="584" spans="4:12" x14ac:dyDescent="0.25">
      <c r="D584" s="26"/>
      <c r="E584" s="26"/>
      <c r="F584" s="26"/>
      <c r="G584" s="26"/>
      <c r="H584" s="26"/>
      <c r="I584" s="26"/>
      <c r="J584" s="26"/>
      <c r="K584" s="26"/>
      <c r="L584" s="26"/>
    </row>
    <row r="585" spans="4:12" x14ac:dyDescent="0.25">
      <c r="D585" s="26"/>
      <c r="E585" s="26"/>
      <c r="F585" s="26"/>
      <c r="G585" s="26"/>
      <c r="H585" s="26"/>
      <c r="I585" s="26"/>
      <c r="J585" s="26"/>
      <c r="K585" s="26"/>
      <c r="L585" s="26"/>
    </row>
    <row r="586" spans="4:12" x14ac:dyDescent="0.25">
      <c r="D586" s="26"/>
      <c r="E586" s="26"/>
      <c r="F586" s="26"/>
      <c r="G586" s="26"/>
      <c r="H586" s="26"/>
      <c r="I586" s="26"/>
      <c r="J586" s="26"/>
      <c r="K586" s="26"/>
      <c r="L586" s="26"/>
    </row>
    <row r="587" spans="4:12" x14ac:dyDescent="0.25">
      <c r="D587" s="26"/>
      <c r="E587" s="26"/>
      <c r="F587" s="26"/>
      <c r="G587" s="26"/>
      <c r="H587" s="26"/>
      <c r="I587" s="26"/>
      <c r="J587" s="26"/>
      <c r="K587" s="26"/>
      <c r="L587" s="26"/>
    </row>
    <row r="588" spans="4:12" x14ac:dyDescent="0.25">
      <c r="D588" s="26"/>
      <c r="E588" s="26"/>
      <c r="F588" s="26"/>
      <c r="G588" s="26"/>
      <c r="H588" s="26"/>
      <c r="I588" s="26"/>
      <c r="J588" s="26"/>
      <c r="K588" s="26"/>
      <c r="L588" s="26"/>
    </row>
    <row r="589" spans="4:12" x14ac:dyDescent="0.25">
      <c r="D589" s="26"/>
      <c r="E589" s="26"/>
      <c r="F589" s="26"/>
      <c r="G589" s="26"/>
      <c r="H589" s="26"/>
      <c r="I589" s="26"/>
      <c r="J589" s="26"/>
      <c r="K589" s="26"/>
      <c r="L589" s="26"/>
    </row>
    <row r="590" spans="4:12" x14ac:dyDescent="0.25">
      <c r="D590" s="26"/>
      <c r="E590" s="26"/>
      <c r="F590" s="26"/>
      <c r="G590" s="26"/>
      <c r="H590" s="26"/>
      <c r="I590" s="26"/>
      <c r="J590" s="26"/>
      <c r="K590" s="26"/>
      <c r="L590" s="26"/>
    </row>
    <row r="591" spans="4:12" x14ac:dyDescent="0.25">
      <c r="D591" s="26"/>
      <c r="E591" s="26"/>
      <c r="F591" s="26"/>
      <c r="G591" s="26"/>
      <c r="H591" s="26"/>
      <c r="I591" s="26"/>
      <c r="J591" s="26"/>
      <c r="K591" s="26"/>
      <c r="L591" s="26"/>
    </row>
    <row r="592" spans="4:12" x14ac:dyDescent="0.25">
      <c r="D592" s="26"/>
      <c r="E592" s="26"/>
      <c r="F592" s="26"/>
      <c r="G592" s="26"/>
      <c r="H592" s="26"/>
      <c r="I592" s="26"/>
      <c r="J592" s="26"/>
      <c r="K592" s="26"/>
      <c r="L592" s="26"/>
    </row>
    <row r="593" spans="4:12" x14ac:dyDescent="0.25">
      <c r="D593" s="26"/>
      <c r="E593" s="26"/>
      <c r="F593" s="26"/>
      <c r="G593" s="26"/>
      <c r="H593" s="26"/>
      <c r="I593" s="26"/>
      <c r="J593" s="26"/>
      <c r="K593" s="26"/>
      <c r="L593" s="26"/>
    </row>
    <row r="594" spans="4:12" x14ac:dyDescent="0.25">
      <c r="D594" s="26"/>
      <c r="E594" s="26"/>
      <c r="F594" s="26"/>
      <c r="G594" s="26"/>
      <c r="H594" s="26"/>
      <c r="I594" s="26"/>
      <c r="J594" s="26"/>
      <c r="K594" s="26"/>
      <c r="L594" s="26"/>
    </row>
    <row r="595" spans="4:12" x14ac:dyDescent="0.25">
      <c r="D595" s="26"/>
      <c r="E595" s="26"/>
      <c r="F595" s="26"/>
      <c r="G595" s="26"/>
      <c r="H595" s="26"/>
      <c r="I595" s="26"/>
      <c r="J595" s="26"/>
      <c r="K595" s="26"/>
      <c r="L595" s="26"/>
    </row>
    <row r="596" spans="4:12" x14ac:dyDescent="0.25">
      <c r="D596" s="26"/>
      <c r="E596" s="26"/>
      <c r="F596" s="26"/>
      <c r="G596" s="26"/>
      <c r="H596" s="26"/>
      <c r="I596" s="26"/>
      <c r="J596" s="26"/>
      <c r="K596" s="26"/>
      <c r="L596" s="26"/>
    </row>
    <row r="597" spans="4:12" x14ac:dyDescent="0.25">
      <c r="D597" s="26"/>
      <c r="E597" s="26"/>
      <c r="F597" s="26"/>
      <c r="G597" s="26"/>
      <c r="H597" s="26"/>
      <c r="I597" s="26"/>
      <c r="J597" s="26"/>
      <c r="K597" s="26"/>
      <c r="L597" s="26"/>
    </row>
    <row r="598" spans="4:12" x14ac:dyDescent="0.25">
      <c r="D598" s="26"/>
      <c r="E598" s="26"/>
      <c r="F598" s="26"/>
      <c r="G598" s="26"/>
      <c r="H598" s="26"/>
      <c r="I598" s="26"/>
      <c r="J598" s="26"/>
      <c r="K598" s="26"/>
      <c r="L598" s="26"/>
    </row>
    <row r="599" spans="4:12" x14ac:dyDescent="0.25">
      <c r="D599" s="26"/>
      <c r="E599" s="26"/>
      <c r="F599" s="26"/>
      <c r="G599" s="26"/>
      <c r="H599" s="26"/>
      <c r="I599" s="26"/>
      <c r="J599" s="26"/>
      <c r="K599" s="26"/>
      <c r="L599" s="26"/>
    </row>
    <row r="600" spans="4:12" x14ac:dyDescent="0.25">
      <c r="D600" s="26"/>
      <c r="E600" s="26"/>
      <c r="F600" s="26"/>
      <c r="G600" s="26"/>
      <c r="H600" s="26"/>
      <c r="I600" s="26"/>
      <c r="J600" s="26"/>
      <c r="K600" s="26"/>
      <c r="L600" s="26"/>
    </row>
    <row r="601" spans="4:12" x14ac:dyDescent="0.25">
      <c r="D601" s="26"/>
      <c r="E601" s="26"/>
      <c r="F601" s="26"/>
      <c r="G601" s="26"/>
      <c r="H601" s="26"/>
      <c r="I601" s="26"/>
      <c r="J601" s="26"/>
      <c r="K601" s="26"/>
      <c r="L601" s="26"/>
    </row>
    <row r="602" spans="4:12" x14ac:dyDescent="0.25">
      <c r="D602" s="26"/>
      <c r="E602" s="26"/>
      <c r="F602" s="26"/>
      <c r="G602" s="26"/>
      <c r="H602" s="26"/>
      <c r="I602" s="26"/>
      <c r="J602" s="26"/>
      <c r="K602" s="26"/>
      <c r="L602" s="26"/>
    </row>
    <row r="603" spans="4:12" x14ac:dyDescent="0.25">
      <c r="D603" s="26"/>
      <c r="E603" s="26"/>
      <c r="F603" s="26"/>
      <c r="G603" s="26"/>
      <c r="H603" s="26"/>
      <c r="I603" s="26"/>
      <c r="J603" s="26"/>
      <c r="K603" s="26"/>
      <c r="L603" s="26"/>
    </row>
    <row r="604" spans="4:12" x14ac:dyDescent="0.25">
      <c r="D604" s="26"/>
      <c r="E604" s="26"/>
      <c r="F604" s="26"/>
      <c r="G604" s="26"/>
      <c r="H604" s="26"/>
      <c r="I604" s="26"/>
      <c r="J604" s="26"/>
      <c r="K604" s="26"/>
      <c r="L604" s="26"/>
    </row>
    <row r="605" spans="4:12" x14ac:dyDescent="0.25">
      <c r="D605" s="26"/>
      <c r="E605" s="26"/>
      <c r="F605" s="26"/>
      <c r="G605" s="26"/>
      <c r="H605" s="26"/>
      <c r="I605" s="26"/>
      <c r="J605" s="26"/>
      <c r="K605" s="26"/>
      <c r="L605" s="26"/>
    </row>
    <row r="606" spans="4:12" x14ac:dyDescent="0.25">
      <c r="D606" s="26"/>
      <c r="E606" s="26"/>
      <c r="F606" s="26"/>
      <c r="G606" s="26"/>
      <c r="H606" s="26"/>
      <c r="I606" s="26"/>
      <c r="J606" s="26"/>
      <c r="K606" s="26"/>
      <c r="L606" s="26"/>
    </row>
    <row r="607" spans="4:12" x14ac:dyDescent="0.25">
      <c r="D607" s="26"/>
      <c r="E607" s="26"/>
      <c r="F607" s="26"/>
      <c r="G607" s="26"/>
      <c r="H607" s="26"/>
      <c r="I607" s="26"/>
      <c r="J607" s="26"/>
      <c r="K607" s="26"/>
      <c r="L607" s="26"/>
    </row>
    <row r="608" spans="4:12" x14ac:dyDescent="0.25">
      <c r="D608" s="26"/>
      <c r="E608" s="26"/>
      <c r="F608" s="26"/>
      <c r="G608" s="26"/>
      <c r="H608" s="26"/>
      <c r="I608" s="26"/>
      <c r="J608" s="26"/>
      <c r="K608" s="26"/>
      <c r="L608" s="26"/>
    </row>
    <row r="609" spans="4:12" x14ac:dyDescent="0.25">
      <c r="D609" s="26"/>
      <c r="E609" s="26"/>
      <c r="F609" s="26"/>
      <c r="G609" s="26"/>
      <c r="H609" s="26"/>
      <c r="I609" s="26"/>
      <c r="J609" s="26"/>
      <c r="K609" s="26"/>
      <c r="L609" s="26"/>
    </row>
    <row r="610" spans="4:12" x14ac:dyDescent="0.25">
      <c r="D610" s="26"/>
      <c r="E610" s="26"/>
      <c r="F610" s="26"/>
      <c r="G610" s="26"/>
      <c r="H610" s="26"/>
      <c r="I610" s="26"/>
      <c r="J610" s="26"/>
      <c r="K610" s="26"/>
      <c r="L610" s="26"/>
    </row>
    <row r="611" spans="4:12" x14ac:dyDescent="0.25">
      <c r="D611" s="26"/>
      <c r="E611" s="26"/>
      <c r="F611" s="26"/>
      <c r="G611" s="26"/>
      <c r="H611" s="26"/>
      <c r="I611" s="26"/>
      <c r="J611" s="26"/>
      <c r="K611" s="26"/>
      <c r="L611" s="26"/>
    </row>
    <row r="612" spans="4:12" x14ac:dyDescent="0.25">
      <c r="D612" s="26"/>
      <c r="E612" s="26"/>
      <c r="F612" s="26"/>
      <c r="G612" s="26"/>
      <c r="H612" s="26"/>
      <c r="I612" s="26"/>
      <c r="J612" s="26"/>
      <c r="K612" s="26"/>
      <c r="L612" s="26"/>
    </row>
    <row r="613" spans="4:12" x14ac:dyDescent="0.25">
      <c r="D613" s="26"/>
      <c r="E613" s="26"/>
      <c r="F613" s="26"/>
      <c r="G613" s="26"/>
      <c r="H613" s="26"/>
      <c r="I613" s="26"/>
      <c r="J613" s="26"/>
      <c r="K613" s="26"/>
      <c r="L613" s="26"/>
    </row>
    <row r="614" spans="4:12" x14ac:dyDescent="0.25">
      <c r="D614" s="26"/>
      <c r="E614" s="26"/>
      <c r="F614" s="26"/>
      <c r="G614" s="26"/>
      <c r="H614" s="26"/>
      <c r="I614" s="26"/>
      <c r="J614" s="26"/>
      <c r="K614" s="26"/>
      <c r="L614" s="26"/>
    </row>
    <row r="615" spans="4:12" x14ac:dyDescent="0.25">
      <c r="D615" s="26"/>
      <c r="E615" s="26"/>
      <c r="F615" s="26"/>
      <c r="G615" s="26"/>
      <c r="H615" s="26"/>
      <c r="I615" s="26"/>
      <c r="J615" s="26"/>
      <c r="K615" s="26"/>
      <c r="L615" s="26"/>
    </row>
    <row r="616" spans="4:12" x14ac:dyDescent="0.25">
      <c r="D616" s="26"/>
      <c r="E616" s="26"/>
      <c r="F616" s="26"/>
      <c r="G616" s="26"/>
      <c r="H616" s="26"/>
      <c r="I616" s="26"/>
      <c r="J616" s="26"/>
      <c r="K616" s="26"/>
      <c r="L616" s="26"/>
    </row>
    <row r="617" spans="4:12" x14ac:dyDescent="0.25">
      <c r="D617" s="26"/>
      <c r="E617" s="26"/>
      <c r="F617" s="26"/>
      <c r="G617" s="26"/>
      <c r="H617" s="26"/>
      <c r="I617" s="26"/>
      <c r="J617" s="26"/>
      <c r="K617" s="26"/>
      <c r="L617" s="26"/>
    </row>
    <row r="618" spans="4:12" x14ac:dyDescent="0.25">
      <c r="D618" s="26"/>
      <c r="E618" s="26"/>
      <c r="F618" s="26"/>
      <c r="G618" s="26"/>
      <c r="H618" s="26"/>
      <c r="I618" s="26"/>
      <c r="J618" s="26"/>
      <c r="K618" s="26"/>
      <c r="L618" s="26"/>
    </row>
    <row r="619" spans="4:12" x14ac:dyDescent="0.25">
      <c r="D619" s="26"/>
      <c r="E619" s="26"/>
      <c r="F619" s="26"/>
      <c r="G619" s="26"/>
      <c r="H619" s="26"/>
      <c r="I619" s="26"/>
      <c r="J619" s="26"/>
      <c r="K619" s="26"/>
      <c r="L619" s="26"/>
    </row>
    <row r="620" spans="4:12" x14ac:dyDescent="0.25">
      <c r="D620" s="26"/>
      <c r="E620" s="26"/>
      <c r="F620" s="26"/>
      <c r="G620" s="26"/>
      <c r="H620" s="26"/>
      <c r="I620" s="26"/>
      <c r="J620" s="26"/>
      <c r="K620" s="26"/>
      <c r="L620" s="26"/>
    </row>
    <row r="621" spans="4:12" x14ac:dyDescent="0.25">
      <c r="D621" s="26"/>
      <c r="E621" s="26"/>
      <c r="F621" s="26"/>
      <c r="G621" s="26"/>
      <c r="H621" s="26"/>
      <c r="I621" s="26"/>
      <c r="J621" s="26"/>
      <c r="K621" s="26"/>
      <c r="L621" s="26"/>
    </row>
    <row r="622" spans="4:12" x14ac:dyDescent="0.25">
      <c r="D622" s="26"/>
      <c r="E622" s="26"/>
      <c r="F622" s="26"/>
      <c r="G622" s="26"/>
      <c r="H622" s="26"/>
      <c r="I622" s="26"/>
      <c r="J622" s="26"/>
      <c r="K622" s="26"/>
      <c r="L622" s="26"/>
    </row>
    <row r="623" spans="4:12" x14ac:dyDescent="0.25">
      <c r="D623" s="26"/>
      <c r="E623" s="26"/>
      <c r="F623" s="26"/>
      <c r="G623" s="26"/>
      <c r="H623" s="26"/>
      <c r="I623" s="26"/>
      <c r="J623" s="26"/>
      <c r="K623" s="26"/>
      <c r="L623" s="26"/>
    </row>
    <row r="624" spans="4:12" x14ac:dyDescent="0.25">
      <c r="D624" s="26"/>
      <c r="E624" s="26"/>
      <c r="F624" s="26"/>
      <c r="G624" s="26"/>
      <c r="H624" s="26"/>
      <c r="I624" s="26"/>
      <c r="J624" s="26"/>
      <c r="K624" s="26"/>
      <c r="L624" s="26"/>
    </row>
    <row r="625" spans="4:12" x14ac:dyDescent="0.25">
      <c r="D625" s="26"/>
      <c r="E625" s="26"/>
      <c r="F625" s="26"/>
      <c r="G625" s="26"/>
      <c r="H625" s="26"/>
      <c r="I625" s="26"/>
      <c r="J625" s="26"/>
      <c r="K625" s="26"/>
      <c r="L625" s="26"/>
    </row>
    <row r="626" spans="4:12" x14ac:dyDescent="0.25">
      <c r="D626" s="26"/>
      <c r="E626" s="26"/>
      <c r="F626" s="26"/>
      <c r="G626" s="26"/>
      <c r="H626" s="26"/>
      <c r="I626" s="26"/>
      <c r="J626" s="26"/>
      <c r="K626" s="26"/>
      <c r="L626" s="26"/>
    </row>
    <row r="627" spans="4:12" x14ac:dyDescent="0.25">
      <c r="D627" s="26"/>
      <c r="E627" s="26"/>
      <c r="F627" s="26"/>
      <c r="G627" s="26"/>
      <c r="H627" s="26"/>
      <c r="I627" s="26"/>
      <c r="J627" s="26"/>
      <c r="K627" s="26"/>
      <c r="L627" s="26"/>
    </row>
    <row r="628" spans="4:12" x14ac:dyDescent="0.25">
      <c r="D628" s="26"/>
      <c r="E628" s="26"/>
      <c r="F628" s="26"/>
      <c r="G628" s="26"/>
      <c r="H628" s="26"/>
      <c r="I628" s="26"/>
      <c r="J628" s="26"/>
      <c r="K628" s="26"/>
      <c r="L628" s="26"/>
    </row>
    <row r="629" spans="4:12" x14ac:dyDescent="0.25">
      <c r="D629" s="26"/>
      <c r="E629" s="26"/>
      <c r="F629" s="26"/>
      <c r="G629" s="26"/>
      <c r="H629" s="26"/>
      <c r="I629" s="26"/>
      <c r="J629" s="26"/>
      <c r="K629" s="26"/>
      <c r="L629" s="26"/>
    </row>
    <row r="630" spans="4:12" x14ac:dyDescent="0.25">
      <c r="D630" s="26"/>
      <c r="E630" s="26"/>
      <c r="F630" s="26"/>
      <c r="G630" s="26"/>
      <c r="H630" s="26"/>
      <c r="I630" s="26"/>
      <c r="J630" s="26"/>
      <c r="K630" s="26"/>
      <c r="L630" s="26"/>
    </row>
    <row r="631" spans="4:12" x14ac:dyDescent="0.25">
      <c r="D631" s="26"/>
      <c r="E631" s="26"/>
      <c r="F631" s="26"/>
      <c r="G631" s="26"/>
      <c r="H631" s="26"/>
      <c r="I631" s="26"/>
      <c r="J631" s="26"/>
      <c r="K631" s="26"/>
      <c r="L631" s="26"/>
    </row>
    <row r="632" spans="4:12" x14ac:dyDescent="0.25">
      <c r="D632" s="26"/>
      <c r="E632" s="26"/>
      <c r="F632" s="26"/>
      <c r="G632" s="26"/>
      <c r="H632" s="26"/>
      <c r="I632" s="26"/>
      <c r="J632" s="26"/>
      <c r="K632" s="26"/>
      <c r="L632" s="26"/>
    </row>
    <row r="633" spans="4:12" x14ac:dyDescent="0.25">
      <c r="D633" s="26"/>
      <c r="E633" s="26"/>
      <c r="F633" s="26"/>
      <c r="G633" s="26"/>
      <c r="H633" s="26"/>
      <c r="I633" s="26"/>
      <c r="J633" s="26"/>
      <c r="K633" s="26"/>
      <c r="L633" s="26"/>
    </row>
    <row r="634" spans="4:12" x14ac:dyDescent="0.25">
      <c r="D634" s="26"/>
      <c r="E634" s="26"/>
      <c r="F634" s="26"/>
      <c r="G634" s="26"/>
      <c r="H634" s="26"/>
      <c r="I634" s="26"/>
      <c r="J634" s="26"/>
      <c r="K634" s="26"/>
      <c r="L634" s="26"/>
    </row>
    <row r="635" spans="4:12" x14ac:dyDescent="0.25">
      <c r="D635" s="26"/>
      <c r="E635" s="26"/>
      <c r="F635" s="26"/>
      <c r="G635" s="26"/>
      <c r="H635" s="26"/>
      <c r="I635" s="26"/>
      <c r="J635" s="26"/>
      <c r="K635" s="26"/>
      <c r="L635" s="26"/>
    </row>
    <row r="636" spans="4:12" x14ac:dyDescent="0.25">
      <c r="D636" s="26"/>
      <c r="E636" s="26"/>
      <c r="F636" s="26"/>
      <c r="G636" s="26"/>
      <c r="H636" s="26"/>
      <c r="I636" s="26"/>
      <c r="J636" s="26"/>
      <c r="K636" s="26"/>
      <c r="L636" s="26"/>
    </row>
    <row r="637" spans="4:12" x14ac:dyDescent="0.25">
      <c r="D637" s="26"/>
      <c r="E637" s="26"/>
      <c r="F637" s="26"/>
      <c r="G637" s="26"/>
      <c r="H637" s="26"/>
      <c r="I637" s="26"/>
      <c r="J637" s="26"/>
      <c r="K637" s="26"/>
      <c r="L637" s="26"/>
    </row>
    <row r="638" spans="4:12" x14ac:dyDescent="0.25">
      <c r="D638" s="26"/>
      <c r="E638" s="26"/>
      <c r="F638" s="26"/>
      <c r="G638" s="26"/>
      <c r="H638" s="26"/>
      <c r="I638" s="26"/>
      <c r="J638" s="26"/>
      <c r="K638" s="26"/>
      <c r="L638" s="26"/>
    </row>
    <row r="639" spans="4:12" x14ac:dyDescent="0.25">
      <c r="D639" s="26"/>
      <c r="E639" s="26"/>
      <c r="F639" s="26"/>
      <c r="G639" s="26"/>
      <c r="H639" s="26"/>
      <c r="I639" s="26"/>
      <c r="J639" s="26"/>
      <c r="K639" s="26"/>
      <c r="L639" s="26"/>
    </row>
    <row r="640" spans="4:12" x14ac:dyDescent="0.25">
      <c r="D640" s="26"/>
      <c r="E640" s="26"/>
      <c r="F640" s="26"/>
      <c r="G640" s="26"/>
      <c r="H640" s="26"/>
      <c r="I640" s="26"/>
      <c r="J640" s="26"/>
      <c r="K640" s="26"/>
      <c r="L640" s="26"/>
    </row>
    <row r="641" spans="4:12" x14ac:dyDescent="0.25">
      <c r="D641" s="26"/>
      <c r="E641" s="26"/>
      <c r="F641" s="26"/>
      <c r="G641" s="26"/>
      <c r="H641" s="26"/>
      <c r="I641" s="26"/>
      <c r="J641" s="26"/>
      <c r="K641" s="26"/>
      <c r="L641" s="26"/>
    </row>
    <row r="642" spans="4:12" x14ac:dyDescent="0.25">
      <c r="D642" s="26"/>
      <c r="E642" s="26"/>
      <c r="F642" s="26"/>
      <c r="G642" s="26"/>
      <c r="H642" s="26"/>
      <c r="I642" s="26"/>
      <c r="J642" s="26"/>
      <c r="K642" s="26"/>
      <c r="L642" s="26"/>
    </row>
    <row r="643" spans="4:12" x14ac:dyDescent="0.25">
      <c r="D643" s="26"/>
      <c r="E643" s="26"/>
      <c r="F643" s="26"/>
      <c r="G643" s="26"/>
      <c r="H643" s="26"/>
      <c r="I643" s="26"/>
      <c r="J643" s="26"/>
      <c r="K643" s="26"/>
      <c r="L643" s="26"/>
    </row>
    <row r="644" spans="4:12" x14ac:dyDescent="0.25">
      <c r="D644" s="26"/>
      <c r="E644" s="26"/>
      <c r="F644" s="26"/>
      <c r="G644" s="26"/>
      <c r="H644" s="26"/>
      <c r="I644" s="26"/>
      <c r="J644" s="26"/>
      <c r="K644" s="26"/>
      <c r="L644" s="26"/>
    </row>
    <row r="645" spans="4:12" x14ac:dyDescent="0.25">
      <c r="D645" s="26"/>
      <c r="E645" s="26"/>
      <c r="F645" s="26"/>
      <c r="G645" s="26"/>
      <c r="H645" s="26"/>
      <c r="I645" s="26"/>
      <c r="J645" s="26"/>
      <c r="K645" s="26"/>
      <c r="L645" s="26"/>
    </row>
    <row r="646" spans="4:12" x14ac:dyDescent="0.25">
      <c r="D646" s="26"/>
      <c r="E646" s="26"/>
      <c r="F646" s="26"/>
      <c r="G646" s="26"/>
      <c r="H646" s="26"/>
      <c r="I646" s="26"/>
      <c r="J646" s="26"/>
      <c r="K646" s="26"/>
      <c r="L646" s="26"/>
    </row>
    <row r="647" spans="4:12" x14ac:dyDescent="0.25">
      <c r="D647" s="26"/>
      <c r="E647" s="26"/>
      <c r="F647" s="26"/>
      <c r="G647" s="26"/>
      <c r="H647" s="26"/>
      <c r="I647" s="26"/>
      <c r="J647" s="26"/>
      <c r="K647" s="26"/>
      <c r="L647" s="26"/>
    </row>
    <row r="648" spans="4:12" x14ac:dyDescent="0.25">
      <c r="D648" s="26"/>
      <c r="E648" s="26"/>
      <c r="F648" s="26"/>
      <c r="G648" s="26"/>
      <c r="H648" s="26"/>
      <c r="I648" s="26"/>
      <c r="J648" s="26"/>
      <c r="K648" s="26"/>
      <c r="L648" s="26"/>
    </row>
    <row r="649" spans="4:12" x14ac:dyDescent="0.25">
      <c r="D649" s="26"/>
      <c r="E649" s="26"/>
      <c r="F649" s="26"/>
      <c r="G649" s="26"/>
      <c r="H649" s="26"/>
      <c r="I649" s="26"/>
      <c r="J649" s="26"/>
      <c r="K649" s="26"/>
      <c r="L649" s="26"/>
    </row>
    <row r="650" spans="4:12" x14ac:dyDescent="0.25">
      <c r="D650" s="26"/>
      <c r="E650" s="26"/>
      <c r="F650" s="26"/>
      <c r="G650" s="26"/>
      <c r="H650" s="26"/>
      <c r="I650" s="26"/>
      <c r="J650" s="26"/>
      <c r="K650" s="26"/>
      <c r="L650" s="26"/>
    </row>
    <row r="651" spans="4:12" x14ac:dyDescent="0.25">
      <c r="D651" s="26"/>
      <c r="E651" s="26"/>
      <c r="F651" s="26"/>
      <c r="G651" s="26"/>
      <c r="H651" s="26"/>
      <c r="I651" s="26"/>
      <c r="J651" s="26"/>
      <c r="K651" s="26"/>
      <c r="L651" s="26"/>
    </row>
    <row r="652" spans="4:12" x14ac:dyDescent="0.25">
      <c r="D652" s="26"/>
      <c r="E652" s="26"/>
      <c r="F652" s="26"/>
      <c r="G652" s="26"/>
      <c r="H652" s="26"/>
      <c r="I652" s="26"/>
      <c r="J652" s="26"/>
      <c r="K652" s="26"/>
      <c r="L652" s="26"/>
    </row>
    <row r="653" spans="4:12" x14ac:dyDescent="0.25">
      <c r="D653" s="26"/>
      <c r="E653" s="26"/>
      <c r="F653" s="26"/>
      <c r="G653" s="26"/>
      <c r="H653" s="26"/>
      <c r="I653" s="26"/>
      <c r="J653" s="26"/>
      <c r="K653" s="26"/>
      <c r="L653" s="26"/>
    </row>
    <row r="654" spans="4:12" x14ac:dyDescent="0.25">
      <c r="D654" s="26"/>
      <c r="E654" s="26"/>
      <c r="F654" s="26"/>
      <c r="G654" s="26"/>
      <c r="H654" s="26"/>
      <c r="I654" s="26"/>
      <c r="J654" s="26"/>
      <c r="K654" s="26"/>
      <c r="L654" s="26"/>
    </row>
    <row r="655" spans="4:12" x14ac:dyDescent="0.25">
      <c r="D655" s="26"/>
      <c r="E655" s="26"/>
      <c r="F655" s="26"/>
      <c r="G655" s="26"/>
      <c r="H655" s="26"/>
      <c r="I655" s="26"/>
      <c r="J655" s="26"/>
      <c r="K655" s="26"/>
      <c r="L655" s="26"/>
    </row>
    <row r="656" spans="4:12" x14ac:dyDescent="0.25">
      <c r="D656" s="26"/>
      <c r="E656" s="26"/>
      <c r="F656" s="26"/>
      <c r="G656" s="26"/>
      <c r="H656" s="26"/>
      <c r="I656" s="26"/>
      <c r="J656" s="26"/>
      <c r="K656" s="26"/>
      <c r="L656" s="26"/>
    </row>
    <row r="657" spans="4:12" x14ac:dyDescent="0.25">
      <c r="D657" s="26"/>
      <c r="E657" s="26"/>
      <c r="F657" s="26"/>
      <c r="G657" s="26"/>
      <c r="H657" s="26"/>
      <c r="I657" s="26"/>
      <c r="J657" s="26"/>
      <c r="K657" s="26"/>
      <c r="L657" s="26"/>
    </row>
    <row r="658" spans="4:12" x14ac:dyDescent="0.25">
      <c r="D658" s="26"/>
      <c r="E658" s="26"/>
      <c r="F658" s="26"/>
      <c r="G658" s="26"/>
      <c r="H658" s="26"/>
      <c r="I658" s="26"/>
      <c r="J658" s="26"/>
      <c r="K658" s="26"/>
      <c r="L658" s="26"/>
    </row>
    <row r="659" spans="4:12" x14ac:dyDescent="0.25">
      <c r="D659" s="26"/>
      <c r="E659" s="26"/>
      <c r="F659" s="26"/>
      <c r="G659" s="26"/>
      <c r="H659" s="26"/>
      <c r="I659" s="26"/>
      <c r="J659" s="26"/>
      <c r="K659" s="26"/>
      <c r="L659" s="26"/>
    </row>
    <row r="660" spans="4:12" x14ac:dyDescent="0.25">
      <c r="D660" s="26"/>
      <c r="E660" s="26"/>
      <c r="F660" s="26"/>
      <c r="G660" s="26"/>
      <c r="H660" s="26"/>
      <c r="I660" s="26"/>
      <c r="J660" s="26"/>
      <c r="K660" s="26"/>
      <c r="L660" s="26"/>
    </row>
    <row r="661" spans="4:12" x14ac:dyDescent="0.25">
      <c r="D661" s="26"/>
      <c r="E661" s="26"/>
      <c r="F661" s="26"/>
      <c r="G661" s="26"/>
      <c r="H661" s="26"/>
      <c r="I661" s="26"/>
      <c r="J661" s="26"/>
      <c r="K661" s="26"/>
      <c r="L661" s="26"/>
    </row>
    <row r="662" spans="4:12" x14ac:dyDescent="0.25">
      <c r="D662" s="26"/>
      <c r="E662" s="26"/>
      <c r="F662" s="26"/>
      <c r="G662" s="26"/>
      <c r="H662" s="26"/>
      <c r="I662" s="26"/>
      <c r="J662" s="26"/>
      <c r="K662" s="26"/>
      <c r="L662" s="26"/>
    </row>
    <row r="663" spans="4:12" x14ac:dyDescent="0.25">
      <c r="D663" s="26"/>
      <c r="E663" s="26"/>
      <c r="F663" s="26"/>
      <c r="G663" s="26"/>
      <c r="H663" s="26"/>
      <c r="I663" s="26"/>
      <c r="J663" s="26"/>
      <c r="K663" s="26"/>
      <c r="L663" s="26"/>
    </row>
    <row r="664" spans="4:12" x14ac:dyDescent="0.25">
      <c r="D664" s="26"/>
      <c r="E664" s="26"/>
      <c r="F664" s="26"/>
      <c r="G664" s="26"/>
      <c r="H664" s="26"/>
      <c r="I664" s="26"/>
      <c r="J664" s="26"/>
      <c r="K664" s="26"/>
      <c r="L664" s="26"/>
    </row>
    <row r="665" spans="4:12" x14ac:dyDescent="0.25">
      <c r="D665" s="26"/>
      <c r="E665" s="26"/>
      <c r="F665" s="26"/>
      <c r="G665" s="26"/>
      <c r="H665" s="26"/>
      <c r="I665" s="26"/>
      <c r="J665" s="26"/>
      <c r="K665" s="26"/>
      <c r="L665" s="26"/>
    </row>
    <row r="666" spans="4:12" x14ac:dyDescent="0.25">
      <c r="D666" s="26"/>
      <c r="E666" s="26"/>
      <c r="F666" s="26"/>
      <c r="G666" s="26"/>
      <c r="H666" s="26"/>
      <c r="I666" s="26"/>
      <c r="J666" s="26"/>
      <c r="K666" s="26"/>
      <c r="L666" s="26"/>
    </row>
    <row r="667" spans="4:12" x14ac:dyDescent="0.25">
      <c r="D667" s="26"/>
      <c r="E667" s="26"/>
      <c r="F667" s="26"/>
      <c r="G667" s="26"/>
      <c r="H667" s="26"/>
      <c r="I667" s="26"/>
      <c r="J667" s="26"/>
      <c r="K667" s="26"/>
      <c r="L667" s="26"/>
    </row>
    <row r="668" spans="4:12" x14ac:dyDescent="0.25">
      <c r="D668" s="26"/>
      <c r="E668" s="26"/>
      <c r="F668" s="26"/>
      <c r="G668" s="26"/>
      <c r="H668" s="26"/>
      <c r="I668" s="26"/>
      <c r="J668" s="26"/>
      <c r="K668" s="26"/>
      <c r="L668" s="26"/>
    </row>
    <row r="669" spans="4:12" x14ac:dyDescent="0.25">
      <c r="D669" s="26"/>
      <c r="E669" s="26"/>
      <c r="F669" s="26"/>
      <c r="G669" s="26"/>
      <c r="H669" s="26"/>
      <c r="I669" s="26"/>
      <c r="J669" s="26"/>
      <c r="K669" s="26"/>
      <c r="L669" s="26"/>
    </row>
    <row r="670" spans="4:12" x14ac:dyDescent="0.25">
      <c r="D670" s="26"/>
      <c r="E670" s="26"/>
      <c r="F670" s="26"/>
      <c r="G670" s="26"/>
      <c r="H670" s="26"/>
      <c r="I670" s="26"/>
      <c r="J670" s="26"/>
      <c r="K670" s="26"/>
      <c r="L670" s="26"/>
    </row>
    <row r="671" spans="4:12" x14ac:dyDescent="0.25">
      <c r="D671" s="26"/>
      <c r="E671" s="26"/>
      <c r="F671" s="26"/>
      <c r="G671" s="26"/>
      <c r="H671" s="26"/>
      <c r="I671" s="26"/>
      <c r="J671" s="26"/>
      <c r="K671" s="26"/>
      <c r="L671" s="26"/>
    </row>
    <row r="672" spans="4:12" x14ac:dyDescent="0.25">
      <c r="D672" s="26"/>
      <c r="E672" s="26"/>
      <c r="F672" s="26"/>
      <c r="G672" s="26"/>
      <c r="H672" s="26"/>
      <c r="I672" s="26"/>
      <c r="J672" s="26"/>
      <c r="K672" s="26"/>
      <c r="L672" s="26"/>
    </row>
    <row r="673" spans="4:12" x14ac:dyDescent="0.25">
      <c r="D673" s="26"/>
      <c r="E673" s="26"/>
      <c r="F673" s="26"/>
      <c r="G673" s="26"/>
      <c r="H673" s="26"/>
      <c r="I673" s="26"/>
      <c r="J673" s="26"/>
      <c r="K673" s="26"/>
      <c r="L673" s="26"/>
    </row>
    <row r="674" spans="4:12" x14ac:dyDescent="0.25">
      <c r="D674" s="26"/>
      <c r="E674" s="26"/>
      <c r="F674" s="26"/>
      <c r="G674" s="26"/>
      <c r="H674" s="26"/>
      <c r="I674" s="26"/>
      <c r="J674" s="26"/>
      <c r="K674" s="26"/>
      <c r="L674" s="26"/>
    </row>
    <row r="675" spans="4:12" x14ac:dyDescent="0.25">
      <c r="D675" s="26"/>
      <c r="E675" s="26"/>
      <c r="F675" s="26"/>
      <c r="G675" s="26"/>
      <c r="H675" s="26"/>
      <c r="I675" s="26"/>
      <c r="J675" s="26"/>
      <c r="K675" s="26"/>
      <c r="L675" s="26"/>
    </row>
    <row r="676" spans="4:12" x14ac:dyDescent="0.25">
      <c r="D676" s="26"/>
      <c r="E676" s="26"/>
      <c r="F676" s="26"/>
      <c r="G676" s="26"/>
      <c r="H676" s="26"/>
      <c r="I676" s="26"/>
      <c r="J676" s="26"/>
      <c r="K676" s="26"/>
      <c r="L676" s="26"/>
    </row>
    <row r="677" spans="4:12" x14ac:dyDescent="0.25">
      <c r="D677" s="26"/>
      <c r="E677" s="26"/>
      <c r="F677" s="26"/>
      <c r="G677" s="26"/>
      <c r="H677" s="26"/>
      <c r="I677" s="26"/>
      <c r="J677" s="26"/>
      <c r="K677" s="26"/>
      <c r="L677" s="26"/>
    </row>
    <row r="678" spans="4:12" x14ac:dyDescent="0.25">
      <c r="D678" s="26"/>
      <c r="E678" s="26"/>
      <c r="F678" s="26"/>
      <c r="G678" s="26"/>
      <c r="H678" s="26"/>
      <c r="I678" s="26"/>
      <c r="J678" s="26"/>
      <c r="K678" s="26"/>
      <c r="L678" s="26"/>
    </row>
    <row r="679" spans="4:12" x14ac:dyDescent="0.25">
      <c r="D679" s="26"/>
      <c r="E679" s="26"/>
      <c r="F679" s="26"/>
      <c r="G679" s="26"/>
      <c r="H679" s="26"/>
      <c r="I679" s="26"/>
      <c r="J679" s="26"/>
      <c r="K679" s="26"/>
      <c r="L679" s="26"/>
    </row>
    <row r="680" spans="4:12" x14ac:dyDescent="0.25">
      <c r="D680" s="26"/>
      <c r="E680" s="26"/>
      <c r="F680" s="26"/>
      <c r="G680" s="26"/>
      <c r="H680" s="26"/>
      <c r="I680" s="26"/>
      <c r="J680" s="26"/>
      <c r="K680" s="26"/>
      <c r="L680" s="26"/>
    </row>
    <row r="681" spans="4:12" x14ac:dyDescent="0.25">
      <c r="D681" s="26"/>
      <c r="E681" s="26"/>
      <c r="F681" s="26"/>
      <c r="G681" s="26"/>
      <c r="H681" s="26"/>
      <c r="I681" s="26"/>
      <c r="J681" s="26"/>
      <c r="K681" s="26"/>
      <c r="L681" s="26"/>
    </row>
    <row r="682" spans="4:12" x14ac:dyDescent="0.25">
      <c r="D682" s="26"/>
      <c r="E682" s="26"/>
      <c r="F682" s="26"/>
      <c r="G682" s="26"/>
      <c r="H682" s="26"/>
      <c r="I682" s="26"/>
      <c r="J682" s="26"/>
      <c r="K682" s="26"/>
      <c r="L682" s="26"/>
    </row>
    <row r="683" spans="4:12" x14ac:dyDescent="0.25">
      <c r="D683" s="26"/>
      <c r="E683" s="26"/>
      <c r="F683" s="26"/>
      <c r="G683" s="26"/>
      <c r="H683" s="26"/>
      <c r="I683" s="26"/>
      <c r="J683" s="26"/>
      <c r="K683" s="26"/>
      <c r="L683" s="26"/>
    </row>
    <row r="684" spans="4:12" x14ac:dyDescent="0.25">
      <c r="D684" s="26"/>
      <c r="E684" s="26"/>
      <c r="F684" s="26"/>
      <c r="G684" s="26"/>
      <c r="H684" s="26"/>
      <c r="I684" s="26"/>
      <c r="J684" s="26"/>
      <c r="K684" s="26"/>
      <c r="L684" s="26"/>
    </row>
    <row r="685" spans="4:12" x14ac:dyDescent="0.25">
      <c r="D685" s="26"/>
      <c r="E685" s="26"/>
      <c r="F685" s="26"/>
      <c r="G685" s="26"/>
      <c r="H685" s="26"/>
      <c r="I685" s="26"/>
      <c r="J685" s="26"/>
      <c r="K685" s="26"/>
      <c r="L685" s="26"/>
    </row>
    <row r="686" spans="4:12" x14ac:dyDescent="0.25">
      <c r="D686" s="26"/>
      <c r="E686" s="26"/>
      <c r="F686" s="26"/>
      <c r="G686" s="26"/>
      <c r="H686" s="26"/>
      <c r="I686" s="26"/>
      <c r="J686" s="26"/>
      <c r="K686" s="26"/>
      <c r="L686" s="26"/>
    </row>
    <row r="687" spans="4:12" x14ac:dyDescent="0.25">
      <c r="D687" s="26"/>
      <c r="E687" s="26"/>
      <c r="F687" s="26"/>
      <c r="G687" s="26"/>
      <c r="H687" s="26"/>
      <c r="I687" s="26"/>
      <c r="J687" s="26"/>
      <c r="K687" s="26"/>
      <c r="L687" s="26"/>
    </row>
    <row r="688" spans="4:12" x14ac:dyDescent="0.25">
      <c r="D688" s="26"/>
      <c r="E688" s="26"/>
      <c r="F688" s="26"/>
      <c r="G688" s="26"/>
      <c r="H688" s="26"/>
      <c r="I688" s="26"/>
      <c r="J688" s="26"/>
      <c r="K688" s="26"/>
      <c r="L688" s="26"/>
    </row>
    <row r="689" spans="4:12" x14ac:dyDescent="0.25">
      <c r="D689" s="26"/>
      <c r="E689" s="26"/>
      <c r="F689" s="26"/>
      <c r="G689" s="26"/>
      <c r="H689" s="26"/>
      <c r="I689" s="26"/>
      <c r="J689" s="26"/>
      <c r="K689" s="26"/>
      <c r="L689" s="26"/>
    </row>
    <row r="690" spans="4:12" x14ac:dyDescent="0.25">
      <c r="D690" s="26"/>
      <c r="E690" s="26"/>
      <c r="F690" s="26"/>
      <c r="G690" s="26"/>
      <c r="H690" s="26"/>
      <c r="I690" s="26"/>
      <c r="J690" s="26"/>
      <c r="K690" s="26"/>
      <c r="L690" s="26"/>
    </row>
    <row r="691" spans="4:12" x14ac:dyDescent="0.25">
      <c r="D691" s="26"/>
      <c r="E691" s="26"/>
      <c r="F691" s="26"/>
      <c r="G691" s="26"/>
      <c r="H691" s="26"/>
      <c r="I691" s="26"/>
      <c r="J691" s="26"/>
      <c r="K691" s="26"/>
      <c r="L691" s="26"/>
    </row>
    <row r="692" spans="4:12" x14ac:dyDescent="0.25">
      <c r="D692" s="26"/>
      <c r="E692" s="26"/>
      <c r="F692" s="26"/>
      <c r="G692" s="26"/>
      <c r="H692" s="26"/>
      <c r="I692" s="26"/>
      <c r="J692" s="26"/>
      <c r="K692" s="26"/>
      <c r="L692" s="26"/>
    </row>
    <row r="693" spans="4:12" x14ac:dyDescent="0.25">
      <c r="D693" s="26"/>
      <c r="E693" s="26"/>
      <c r="F693" s="26"/>
      <c r="G693" s="26"/>
      <c r="H693" s="26"/>
      <c r="I693" s="26"/>
      <c r="J693" s="26"/>
      <c r="K693" s="26"/>
      <c r="L693" s="26"/>
    </row>
    <row r="694" spans="4:12" x14ac:dyDescent="0.25">
      <c r="D694" s="26"/>
      <c r="E694" s="26"/>
      <c r="F694" s="26"/>
      <c r="G694" s="26"/>
      <c r="H694" s="26"/>
      <c r="I694" s="26"/>
      <c r="J694" s="26"/>
      <c r="K694" s="26"/>
      <c r="L694" s="26"/>
    </row>
    <row r="695" spans="4:12" x14ac:dyDescent="0.25">
      <c r="D695" s="26"/>
      <c r="E695" s="26"/>
      <c r="F695" s="26"/>
      <c r="G695" s="26"/>
      <c r="H695" s="26"/>
      <c r="I695" s="26"/>
      <c r="J695" s="26"/>
      <c r="K695" s="26"/>
      <c r="L695" s="26"/>
    </row>
    <row r="696" spans="4:12" x14ac:dyDescent="0.25">
      <c r="D696" s="26"/>
      <c r="E696" s="26"/>
      <c r="F696" s="26"/>
      <c r="G696" s="26"/>
      <c r="H696" s="26"/>
      <c r="I696" s="26"/>
      <c r="J696" s="26"/>
      <c r="K696" s="26"/>
      <c r="L696" s="26"/>
    </row>
    <row r="697" spans="4:12" x14ac:dyDescent="0.25">
      <c r="D697" s="26"/>
      <c r="E697" s="26"/>
      <c r="F697" s="26"/>
      <c r="G697" s="26"/>
      <c r="H697" s="26"/>
      <c r="I697" s="26"/>
      <c r="J697" s="26"/>
      <c r="K697" s="26"/>
      <c r="L697" s="26"/>
    </row>
    <row r="698" spans="4:12" x14ac:dyDescent="0.25">
      <c r="D698" s="26"/>
      <c r="E698" s="26"/>
      <c r="F698" s="26"/>
      <c r="G698" s="26"/>
      <c r="H698" s="26"/>
      <c r="I698" s="26"/>
      <c r="J698" s="26"/>
      <c r="K698" s="26"/>
      <c r="L698" s="26"/>
    </row>
    <row r="699" spans="4:12" x14ac:dyDescent="0.25">
      <c r="D699" s="26"/>
      <c r="E699" s="26"/>
      <c r="F699" s="26"/>
      <c r="G699" s="26"/>
      <c r="H699" s="26"/>
      <c r="I699" s="26"/>
      <c r="J699" s="26"/>
      <c r="K699" s="26"/>
      <c r="L699" s="26"/>
    </row>
    <row r="700" spans="4:12" x14ac:dyDescent="0.25">
      <c r="D700" s="26"/>
      <c r="E700" s="26"/>
      <c r="F700" s="26"/>
      <c r="G700" s="26"/>
      <c r="H700" s="26"/>
      <c r="I700" s="26"/>
      <c r="J700" s="26"/>
      <c r="K700" s="26"/>
      <c r="L700" s="26"/>
    </row>
    <row r="701" spans="4:12" x14ac:dyDescent="0.25">
      <c r="D701" s="26"/>
      <c r="E701" s="26"/>
      <c r="F701" s="26"/>
      <c r="G701" s="26"/>
      <c r="H701" s="26"/>
      <c r="I701" s="26"/>
      <c r="J701" s="26"/>
      <c r="K701" s="26"/>
      <c r="L701" s="26"/>
    </row>
    <row r="702" spans="4:12" x14ac:dyDescent="0.25">
      <c r="D702" s="26"/>
      <c r="E702" s="26"/>
      <c r="F702" s="26"/>
      <c r="G702" s="26"/>
      <c r="H702" s="26"/>
      <c r="I702" s="26"/>
      <c r="J702" s="26"/>
      <c r="K702" s="26"/>
      <c r="L702" s="26"/>
    </row>
    <row r="703" spans="4:12" x14ac:dyDescent="0.25">
      <c r="D703" s="26"/>
      <c r="E703" s="26"/>
      <c r="F703" s="26"/>
      <c r="G703" s="26"/>
      <c r="H703" s="26"/>
      <c r="I703" s="26"/>
      <c r="J703" s="26"/>
      <c r="K703" s="26"/>
      <c r="L703" s="26"/>
    </row>
    <row r="704" spans="4:12" x14ac:dyDescent="0.25">
      <c r="D704" s="26"/>
      <c r="E704" s="26"/>
      <c r="F704" s="26"/>
      <c r="G704" s="26"/>
      <c r="H704" s="26"/>
      <c r="I704" s="26"/>
      <c r="J704" s="26"/>
      <c r="K704" s="26"/>
      <c r="L704" s="26"/>
    </row>
    <row r="705" spans="4:12" x14ac:dyDescent="0.25">
      <c r="D705" s="26"/>
      <c r="E705" s="26"/>
      <c r="F705" s="26"/>
      <c r="G705" s="26"/>
      <c r="H705" s="26"/>
      <c r="I705" s="26"/>
      <c r="J705" s="26"/>
      <c r="K705" s="26"/>
      <c r="L705" s="26"/>
    </row>
    <row r="706" spans="4:12" x14ac:dyDescent="0.25">
      <c r="D706" s="26"/>
      <c r="E706" s="26"/>
      <c r="F706" s="26"/>
      <c r="G706" s="26"/>
      <c r="H706" s="26"/>
      <c r="I706" s="26"/>
      <c r="J706" s="26"/>
      <c r="K706" s="26"/>
      <c r="L706" s="26"/>
    </row>
    <row r="707" spans="4:12" x14ac:dyDescent="0.25">
      <c r="D707" s="26"/>
      <c r="E707" s="26"/>
      <c r="F707" s="26"/>
      <c r="G707" s="26"/>
      <c r="H707" s="26"/>
      <c r="I707" s="26"/>
      <c r="J707" s="26"/>
      <c r="K707" s="26"/>
      <c r="L707" s="26"/>
    </row>
    <row r="708" spans="4:12" x14ac:dyDescent="0.25">
      <c r="D708" s="26"/>
      <c r="E708" s="26"/>
      <c r="F708" s="26"/>
      <c r="G708" s="26"/>
      <c r="H708" s="26"/>
      <c r="I708" s="26"/>
      <c r="J708" s="26"/>
      <c r="K708" s="26"/>
      <c r="L708" s="26"/>
    </row>
    <row r="709" spans="4:12" x14ac:dyDescent="0.25">
      <c r="D709" s="26"/>
      <c r="E709" s="26"/>
      <c r="F709" s="26"/>
      <c r="G709" s="26"/>
      <c r="H709" s="26"/>
      <c r="I709" s="26"/>
      <c r="J709" s="26"/>
      <c r="K709" s="26"/>
      <c r="L709" s="26"/>
    </row>
    <row r="710" spans="4:12" x14ac:dyDescent="0.25">
      <c r="D710" s="26"/>
      <c r="E710" s="26"/>
      <c r="F710" s="26"/>
      <c r="G710" s="26"/>
      <c r="H710" s="26"/>
      <c r="I710" s="26"/>
      <c r="J710" s="26"/>
      <c r="K710" s="26"/>
      <c r="L710" s="26"/>
    </row>
    <row r="711" spans="4:12" x14ac:dyDescent="0.25">
      <c r="D711" s="26"/>
      <c r="E711" s="26"/>
      <c r="F711" s="26"/>
      <c r="G711" s="26"/>
      <c r="H711" s="26"/>
      <c r="I711" s="26"/>
      <c r="J711" s="26"/>
      <c r="K711" s="26"/>
      <c r="L711" s="26"/>
    </row>
    <row r="712" spans="4:12" x14ac:dyDescent="0.25">
      <c r="D712" s="26"/>
      <c r="E712" s="26"/>
      <c r="F712" s="26"/>
      <c r="G712" s="26"/>
      <c r="H712" s="26"/>
      <c r="I712" s="26"/>
      <c r="J712" s="26"/>
      <c r="K712" s="26"/>
      <c r="L712" s="26"/>
    </row>
    <row r="713" spans="4:12" x14ac:dyDescent="0.25">
      <c r="D713" s="26"/>
      <c r="E713" s="26"/>
      <c r="F713" s="26"/>
      <c r="G713" s="26"/>
      <c r="H713" s="26"/>
      <c r="I713" s="26"/>
      <c r="J713" s="26"/>
      <c r="K713" s="26"/>
      <c r="L713" s="26"/>
    </row>
    <row r="714" spans="4:12" x14ac:dyDescent="0.25">
      <c r="D714" s="26"/>
      <c r="E714" s="26"/>
      <c r="F714" s="26"/>
      <c r="G714" s="26"/>
      <c r="H714" s="26"/>
      <c r="I714" s="26"/>
      <c r="J714" s="26"/>
      <c r="K714" s="26"/>
      <c r="L714" s="26"/>
    </row>
    <row r="715" spans="4:12" x14ac:dyDescent="0.25">
      <c r="D715" s="26"/>
      <c r="E715" s="26"/>
      <c r="F715" s="26"/>
      <c r="G715" s="26"/>
      <c r="H715" s="26"/>
      <c r="I715" s="26"/>
      <c r="J715" s="26"/>
      <c r="K715" s="26"/>
      <c r="L715" s="26"/>
    </row>
    <row r="716" spans="4:12" x14ac:dyDescent="0.25">
      <c r="D716" s="26"/>
      <c r="E716" s="26"/>
      <c r="F716" s="26"/>
      <c r="G716" s="26"/>
      <c r="H716" s="26"/>
      <c r="I716" s="26"/>
      <c r="J716" s="26"/>
      <c r="K716" s="26"/>
      <c r="L716" s="26"/>
    </row>
    <row r="717" spans="4:12" x14ac:dyDescent="0.25">
      <c r="D717" s="26"/>
      <c r="E717" s="26"/>
      <c r="F717" s="26"/>
      <c r="G717" s="26"/>
      <c r="H717" s="26"/>
      <c r="I717" s="26"/>
      <c r="J717" s="26"/>
      <c r="K717" s="26"/>
      <c r="L717" s="26"/>
    </row>
    <row r="718" spans="4:12" x14ac:dyDescent="0.25">
      <c r="D718" s="26"/>
      <c r="E718" s="26"/>
      <c r="F718" s="26"/>
      <c r="G718" s="26"/>
      <c r="H718" s="26"/>
      <c r="I718" s="26"/>
      <c r="J718" s="26"/>
      <c r="K718" s="26"/>
      <c r="L718" s="26"/>
    </row>
    <row r="719" spans="4:12" x14ac:dyDescent="0.25">
      <c r="D719" s="26"/>
      <c r="E719" s="26"/>
      <c r="F719" s="26"/>
      <c r="G719" s="26"/>
      <c r="H719" s="26"/>
      <c r="I719" s="26"/>
      <c r="J719" s="26"/>
      <c r="K719" s="26"/>
      <c r="L719" s="26"/>
    </row>
    <row r="720" spans="4:12" x14ac:dyDescent="0.25">
      <c r="D720" s="26"/>
      <c r="E720" s="26"/>
      <c r="F720" s="26"/>
      <c r="G720" s="26"/>
      <c r="H720" s="26"/>
      <c r="I720" s="26"/>
      <c r="J720" s="26"/>
      <c r="K720" s="26"/>
      <c r="L720" s="26"/>
    </row>
    <row r="721" spans="4:12" x14ac:dyDescent="0.25">
      <c r="D721" s="26"/>
      <c r="E721" s="26"/>
      <c r="F721" s="26"/>
      <c r="G721" s="26"/>
      <c r="H721" s="26"/>
      <c r="I721" s="26"/>
      <c r="J721" s="26"/>
      <c r="K721" s="26"/>
      <c r="L721" s="26"/>
    </row>
    <row r="722" spans="4:12" x14ac:dyDescent="0.25">
      <c r="D722" s="26"/>
      <c r="E722" s="26"/>
      <c r="F722" s="26"/>
      <c r="G722" s="26"/>
      <c r="H722" s="26"/>
      <c r="I722" s="26"/>
      <c r="J722" s="26"/>
      <c r="K722" s="26"/>
      <c r="L722" s="26"/>
    </row>
    <row r="723" spans="4:12" x14ac:dyDescent="0.25">
      <c r="D723" s="26"/>
      <c r="E723" s="26"/>
      <c r="F723" s="26"/>
      <c r="G723" s="26"/>
      <c r="H723" s="26"/>
      <c r="I723" s="26"/>
      <c r="J723" s="26"/>
      <c r="K723" s="26"/>
      <c r="L723" s="26"/>
    </row>
    <row r="724" spans="4:12" x14ac:dyDescent="0.25">
      <c r="D724" s="26"/>
      <c r="E724" s="26"/>
      <c r="F724" s="26"/>
      <c r="G724" s="26"/>
      <c r="H724" s="26"/>
      <c r="I724" s="26"/>
      <c r="J724" s="26"/>
      <c r="K724" s="26"/>
      <c r="L724" s="26"/>
    </row>
    <row r="725" spans="4:12" x14ac:dyDescent="0.25">
      <c r="D725" s="26"/>
      <c r="E725" s="26"/>
      <c r="F725" s="26"/>
      <c r="G725" s="26"/>
      <c r="H725" s="26"/>
      <c r="I725" s="26"/>
      <c r="J725" s="26"/>
      <c r="K725" s="26"/>
      <c r="L725" s="26"/>
    </row>
    <row r="726" spans="4:12" x14ac:dyDescent="0.25">
      <c r="D726" s="26"/>
      <c r="E726" s="26"/>
      <c r="F726" s="26"/>
      <c r="G726" s="26"/>
      <c r="H726" s="26"/>
      <c r="I726" s="26"/>
      <c r="J726" s="26"/>
      <c r="K726" s="26"/>
      <c r="L726" s="26"/>
    </row>
    <row r="727" spans="4:12" x14ac:dyDescent="0.25">
      <c r="D727" s="26"/>
      <c r="E727" s="26"/>
      <c r="F727" s="26"/>
      <c r="G727" s="26"/>
      <c r="H727" s="26"/>
      <c r="I727" s="26"/>
      <c r="J727" s="26"/>
      <c r="K727" s="26"/>
      <c r="L727" s="26"/>
    </row>
    <row r="728" spans="4:12" x14ac:dyDescent="0.25">
      <c r="D728" s="26"/>
      <c r="E728" s="26"/>
      <c r="F728" s="26"/>
      <c r="G728" s="26"/>
      <c r="H728" s="26"/>
      <c r="I728" s="26"/>
      <c r="J728" s="26"/>
      <c r="K728" s="26"/>
      <c r="L728" s="26"/>
    </row>
    <row r="729" spans="4:12" x14ac:dyDescent="0.25">
      <c r="D729" s="26"/>
      <c r="E729" s="26"/>
      <c r="F729" s="26"/>
      <c r="G729" s="26"/>
      <c r="H729" s="26"/>
      <c r="I729" s="26"/>
      <c r="J729" s="26"/>
      <c r="K729" s="26"/>
      <c r="L729" s="26"/>
    </row>
    <row r="730" spans="4:12" x14ac:dyDescent="0.25">
      <c r="D730" s="26"/>
      <c r="E730" s="26"/>
      <c r="F730" s="26"/>
      <c r="G730" s="26"/>
      <c r="H730" s="26"/>
      <c r="I730" s="26"/>
      <c r="J730" s="26"/>
      <c r="K730" s="26"/>
      <c r="L730" s="26"/>
    </row>
    <row r="731" spans="4:12" x14ac:dyDescent="0.25">
      <c r="D731" s="26"/>
      <c r="E731" s="26"/>
      <c r="F731" s="26"/>
      <c r="G731" s="26"/>
      <c r="H731" s="26"/>
      <c r="I731" s="26"/>
      <c r="J731" s="26"/>
      <c r="K731" s="26"/>
      <c r="L731" s="26"/>
    </row>
    <row r="732" spans="4:12" x14ac:dyDescent="0.25">
      <c r="D732" s="26"/>
      <c r="E732" s="26"/>
      <c r="F732" s="26"/>
      <c r="G732" s="26"/>
      <c r="H732" s="26"/>
      <c r="I732" s="26"/>
      <c r="J732" s="26"/>
      <c r="K732" s="26"/>
      <c r="L732" s="26"/>
    </row>
    <row r="733" spans="4:12" x14ac:dyDescent="0.25">
      <c r="D733" s="26"/>
      <c r="E733" s="26"/>
      <c r="F733" s="26"/>
      <c r="G733" s="26"/>
      <c r="H733" s="26"/>
      <c r="I733" s="26"/>
      <c r="J733" s="26"/>
      <c r="K733" s="26"/>
      <c r="L733" s="26"/>
    </row>
    <row r="734" spans="4:12" x14ac:dyDescent="0.25">
      <c r="D734" s="26"/>
      <c r="E734" s="26"/>
      <c r="F734" s="26"/>
      <c r="G734" s="26"/>
      <c r="H734" s="26"/>
      <c r="I734" s="26"/>
      <c r="J734" s="26"/>
      <c r="K734" s="26"/>
      <c r="L734" s="26"/>
    </row>
    <row r="735" spans="4:12" x14ac:dyDescent="0.25">
      <c r="D735" s="26"/>
      <c r="E735" s="26"/>
      <c r="F735" s="26"/>
      <c r="G735" s="26"/>
      <c r="H735" s="26"/>
      <c r="I735" s="26"/>
      <c r="J735" s="26"/>
      <c r="K735" s="26"/>
      <c r="L735" s="26"/>
    </row>
    <row r="736" spans="4:12" x14ac:dyDescent="0.25">
      <c r="D736" s="26"/>
      <c r="E736" s="26"/>
      <c r="F736" s="26"/>
      <c r="G736" s="26"/>
      <c r="H736" s="26"/>
      <c r="I736" s="26"/>
      <c r="J736" s="26"/>
      <c r="K736" s="26"/>
      <c r="L736" s="26"/>
    </row>
    <row r="737" spans="4:12" x14ac:dyDescent="0.25">
      <c r="D737" s="26"/>
      <c r="E737" s="26"/>
      <c r="F737" s="26"/>
      <c r="G737" s="26"/>
      <c r="H737" s="26"/>
      <c r="I737" s="26"/>
      <c r="J737" s="26"/>
      <c r="K737" s="26"/>
      <c r="L737" s="26"/>
    </row>
    <row r="738" spans="4:12" x14ac:dyDescent="0.25">
      <c r="D738" s="26"/>
      <c r="E738" s="26"/>
      <c r="F738" s="26"/>
      <c r="G738" s="26"/>
      <c r="H738" s="26"/>
      <c r="I738" s="26"/>
      <c r="J738" s="26"/>
      <c r="K738" s="26"/>
      <c r="L738" s="26"/>
    </row>
    <row r="739" spans="4:12" x14ac:dyDescent="0.25">
      <c r="D739" s="26"/>
      <c r="E739" s="26"/>
      <c r="F739" s="26"/>
      <c r="G739" s="26"/>
      <c r="H739" s="26"/>
      <c r="I739" s="26"/>
      <c r="J739" s="26"/>
      <c r="K739" s="26"/>
      <c r="L739" s="26"/>
    </row>
    <row r="740" spans="4:12" x14ac:dyDescent="0.25">
      <c r="D740" s="26"/>
      <c r="E740" s="26"/>
      <c r="F740" s="26"/>
      <c r="G740" s="26"/>
      <c r="H740" s="26"/>
      <c r="I740" s="26"/>
      <c r="J740" s="26"/>
      <c r="K740" s="26"/>
      <c r="L740" s="26"/>
    </row>
    <row r="741" spans="4:12" x14ac:dyDescent="0.25">
      <c r="D741" s="26"/>
      <c r="E741" s="26"/>
      <c r="F741" s="26"/>
      <c r="G741" s="26"/>
      <c r="H741" s="26"/>
      <c r="I741" s="26"/>
      <c r="J741" s="26"/>
      <c r="K741" s="26"/>
      <c r="L741" s="26"/>
    </row>
    <row r="742" spans="4:12" x14ac:dyDescent="0.25">
      <c r="D742" s="26"/>
      <c r="E742" s="26"/>
      <c r="F742" s="26"/>
      <c r="G742" s="26"/>
      <c r="H742" s="26"/>
      <c r="I742" s="26"/>
      <c r="J742" s="26"/>
      <c r="K742" s="26"/>
      <c r="L742" s="26"/>
    </row>
    <row r="743" spans="4:12" x14ac:dyDescent="0.25">
      <c r="D743" s="26"/>
      <c r="E743" s="26"/>
      <c r="F743" s="26"/>
      <c r="G743" s="26"/>
      <c r="H743" s="26"/>
      <c r="I743" s="26"/>
      <c r="J743" s="26"/>
      <c r="K743" s="26"/>
      <c r="L743" s="26"/>
    </row>
    <row r="744" spans="4:12" x14ac:dyDescent="0.25">
      <c r="D744" s="26"/>
      <c r="E744" s="26"/>
      <c r="F744" s="26"/>
      <c r="G744" s="26"/>
      <c r="H744" s="26"/>
      <c r="I744" s="26"/>
      <c r="J744" s="26"/>
      <c r="K744" s="26"/>
      <c r="L744" s="26"/>
    </row>
    <row r="745" spans="4:12" x14ac:dyDescent="0.25">
      <c r="D745" s="26"/>
      <c r="E745" s="26"/>
      <c r="F745" s="26"/>
      <c r="G745" s="26"/>
      <c r="H745" s="26"/>
      <c r="I745" s="26"/>
      <c r="J745" s="26"/>
      <c r="K745" s="26"/>
      <c r="L745" s="26"/>
    </row>
    <row r="746" spans="4:12" x14ac:dyDescent="0.25">
      <c r="D746" s="26"/>
      <c r="E746" s="26"/>
      <c r="F746" s="26"/>
      <c r="G746" s="26"/>
      <c r="H746" s="26"/>
      <c r="I746" s="26"/>
      <c r="J746" s="26"/>
      <c r="K746" s="26"/>
      <c r="L746" s="26"/>
    </row>
    <row r="747" spans="4:12" x14ac:dyDescent="0.25">
      <c r="D747" s="26"/>
      <c r="E747" s="26"/>
      <c r="F747" s="26"/>
      <c r="G747" s="26"/>
      <c r="H747" s="26"/>
      <c r="I747" s="26"/>
      <c r="J747" s="26"/>
      <c r="K747" s="26"/>
      <c r="L747" s="26"/>
    </row>
    <row r="748" spans="4:12" x14ac:dyDescent="0.25">
      <c r="D748" s="26"/>
      <c r="E748" s="26"/>
      <c r="F748" s="26"/>
      <c r="G748" s="26"/>
      <c r="H748" s="26"/>
      <c r="I748" s="26"/>
      <c r="J748" s="26"/>
      <c r="K748" s="26"/>
      <c r="L748" s="26"/>
    </row>
    <row r="749" spans="4:12" x14ac:dyDescent="0.25">
      <c r="D749" s="26"/>
      <c r="E749" s="26"/>
      <c r="F749" s="26"/>
      <c r="G749" s="26"/>
      <c r="H749" s="26"/>
      <c r="I749" s="26"/>
      <c r="J749" s="26"/>
      <c r="K749" s="26"/>
      <c r="L749" s="26"/>
    </row>
    <row r="750" spans="4:12" x14ac:dyDescent="0.25">
      <c r="D750" s="26"/>
      <c r="E750" s="26"/>
      <c r="F750" s="26"/>
      <c r="G750" s="26"/>
      <c r="H750" s="26"/>
      <c r="I750" s="26"/>
      <c r="J750" s="26"/>
      <c r="K750" s="26"/>
      <c r="L750" s="26"/>
    </row>
    <row r="751" spans="4:12" x14ac:dyDescent="0.25">
      <c r="D751" s="26"/>
      <c r="E751" s="26"/>
      <c r="F751" s="26"/>
      <c r="G751" s="26"/>
      <c r="H751" s="26"/>
      <c r="I751" s="26"/>
      <c r="J751" s="26"/>
      <c r="K751" s="26"/>
      <c r="L751" s="26"/>
    </row>
    <row r="752" spans="4:12" x14ac:dyDescent="0.25">
      <c r="D752" s="26"/>
      <c r="E752" s="26"/>
      <c r="F752" s="26"/>
      <c r="G752" s="26"/>
      <c r="H752" s="26"/>
      <c r="I752" s="26"/>
      <c r="J752" s="26"/>
      <c r="K752" s="26"/>
      <c r="L752" s="26"/>
    </row>
    <row r="753" spans="4:12" x14ac:dyDescent="0.25">
      <c r="D753" s="26"/>
      <c r="E753" s="26"/>
      <c r="F753" s="26"/>
      <c r="G753" s="26"/>
      <c r="H753" s="26"/>
      <c r="I753" s="26"/>
      <c r="J753" s="26"/>
      <c r="K753" s="26"/>
      <c r="L753" s="26"/>
    </row>
    <row r="754" spans="4:12" x14ac:dyDescent="0.25">
      <c r="D754" s="26"/>
      <c r="E754" s="26"/>
      <c r="F754" s="26"/>
      <c r="G754" s="26"/>
      <c r="H754" s="26"/>
      <c r="I754" s="26"/>
      <c r="J754" s="26"/>
      <c r="K754" s="26"/>
      <c r="L754" s="26"/>
    </row>
    <row r="755" spans="4:12" x14ac:dyDescent="0.25">
      <c r="D755" s="26"/>
      <c r="E755" s="26"/>
      <c r="F755" s="26"/>
      <c r="G755" s="26"/>
      <c r="H755" s="26"/>
      <c r="I755" s="26"/>
      <c r="J755" s="26"/>
      <c r="K755" s="26"/>
      <c r="L755" s="26"/>
    </row>
    <row r="756" spans="4:12" x14ac:dyDescent="0.25">
      <c r="D756" s="26"/>
      <c r="E756" s="26"/>
      <c r="F756" s="26"/>
      <c r="G756" s="26"/>
      <c r="H756" s="26"/>
      <c r="I756" s="26"/>
      <c r="J756" s="26"/>
      <c r="K756" s="26"/>
      <c r="L756" s="26"/>
    </row>
    <row r="757" spans="4:12" x14ac:dyDescent="0.25">
      <c r="D757" s="26"/>
      <c r="E757" s="26"/>
      <c r="F757" s="26"/>
      <c r="G757" s="26"/>
      <c r="H757" s="26"/>
      <c r="I757" s="26"/>
      <c r="J757" s="26"/>
      <c r="K757" s="26"/>
      <c r="L757" s="26"/>
    </row>
    <row r="758" spans="4:12" x14ac:dyDescent="0.25">
      <c r="D758" s="26"/>
      <c r="E758" s="26"/>
      <c r="F758" s="26"/>
      <c r="G758" s="26"/>
      <c r="H758" s="26"/>
      <c r="I758" s="26"/>
      <c r="J758" s="26"/>
      <c r="K758" s="26"/>
      <c r="L758" s="26"/>
    </row>
    <row r="759" spans="4:12" x14ac:dyDescent="0.25">
      <c r="D759" s="26"/>
      <c r="E759" s="26"/>
      <c r="F759" s="26"/>
      <c r="G759" s="26"/>
      <c r="H759" s="26"/>
      <c r="I759" s="26"/>
      <c r="J759" s="26"/>
      <c r="K759" s="26"/>
      <c r="L759" s="26"/>
    </row>
    <row r="760" spans="4:12" x14ac:dyDescent="0.25">
      <c r="D760" s="26"/>
      <c r="E760" s="26"/>
      <c r="F760" s="26"/>
      <c r="G760" s="26"/>
      <c r="H760" s="26"/>
      <c r="I760" s="26"/>
      <c r="J760" s="26"/>
      <c r="K760" s="26"/>
      <c r="L760" s="26"/>
    </row>
    <row r="761" spans="4:12" x14ac:dyDescent="0.25">
      <c r="D761" s="26"/>
      <c r="E761" s="26"/>
      <c r="F761" s="26"/>
      <c r="G761" s="26"/>
      <c r="H761" s="26"/>
      <c r="I761" s="26"/>
      <c r="J761" s="26"/>
      <c r="K761" s="26"/>
      <c r="L761" s="26"/>
    </row>
    <row r="762" spans="4:12" x14ac:dyDescent="0.25">
      <c r="D762" s="26"/>
      <c r="E762" s="26"/>
      <c r="F762" s="26"/>
      <c r="G762" s="26"/>
      <c r="H762" s="26"/>
      <c r="I762" s="26"/>
      <c r="J762" s="26"/>
      <c r="K762" s="26"/>
      <c r="L762" s="26"/>
    </row>
    <row r="763" spans="4:12" x14ac:dyDescent="0.25">
      <c r="D763" s="26"/>
      <c r="E763" s="26"/>
      <c r="F763" s="26"/>
      <c r="G763" s="26"/>
      <c r="H763" s="26"/>
      <c r="I763" s="26"/>
      <c r="J763" s="26"/>
      <c r="K763" s="26"/>
      <c r="L763" s="26"/>
    </row>
    <row r="764" spans="4:12" x14ac:dyDescent="0.25">
      <c r="D764" s="26"/>
      <c r="E764" s="26"/>
      <c r="F764" s="26"/>
      <c r="G764" s="26"/>
      <c r="H764" s="26"/>
      <c r="I764" s="26"/>
      <c r="J764" s="26"/>
      <c r="K764" s="26"/>
      <c r="L764" s="26"/>
    </row>
    <row r="765" spans="4:12" x14ac:dyDescent="0.25">
      <c r="D765" s="26"/>
      <c r="E765" s="26"/>
      <c r="F765" s="26"/>
      <c r="G765" s="26"/>
      <c r="H765" s="26"/>
      <c r="I765" s="26"/>
      <c r="J765" s="26"/>
      <c r="K765" s="26"/>
      <c r="L765" s="26"/>
    </row>
    <row r="766" spans="4:12" x14ac:dyDescent="0.25">
      <c r="D766" s="26"/>
      <c r="E766" s="26"/>
      <c r="F766" s="26"/>
      <c r="G766" s="26"/>
      <c r="H766" s="26"/>
      <c r="I766" s="26"/>
      <c r="J766" s="26"/>
      <c r="K766" s="26"/>
      <c r="L766" s="26"/>
    </row>
    <row r="767" spans="4:12" x14ac:dyDescent="0.25">
      <c r="D767" s="26"/>
      <c r="E767" s="26"/>
      <c r="F767" s="26"/>
      <c r="G767" s="26"/>
      <c r="H767" s="26"/>
      <c r="I767" s="26"/>
      <c r="J767" s="26"/>
      <c r="K767" s="26"/>
      <c r="L767" s="26"/>
    </row>
    <row r="768" spans="4:12" x14ac:dyDescent="0.25">
      <c r="D768" s="26"/>
      <c r="E768" s="26"/>
      <c r="F768" s="26"/>
      <c r="G768" s="26"/>
      <c r="H768" s="26"/>
      <c r="I768" s="26"/>
      <c r="J768" s="26"/>
      <c r="K768" s="26"/>
      <c r="L768" s="26"/>
    </row>
    <row r="769" spans="4:12" x14ac:dyDescent="0.25">
      <c r="D769" s="26"/>
      <c r="E769" s="26"/>
      <c r="F769" s="26"/>
      <c r="G769" s="26"/>
      <c r="H769" s="26"/>
      <c r="I769" s="26"/>
      <c r="J769" s="26"/>
      <c r="K769" s="26"/>
      <c r="L769" s="26"/>
    </row>
    <row r="770" spans="4:12" x14ac:dyDescent="0.25">
      <c r="D770" s="26"/>
      <c r="E770" s="26"/>
      <c r="F770" s="26"/>
      <c r="G770" s="26"/>
      <c r="H770" s="26"/>
      <c r="I770" s="26"/>
      <c r="J770" s="26"/>
      <c r="K770" s="26"/>
      <c r="L770" s="26"/>
    </row>
    <row r="771" spans="4:12" x14ac:dyDescent="0.25">
      <c r="D771" s="26"/>
      <c r="E771" s="26"/>
      <c r="F771" s="26"/>
      <c r="G771" s="26"/>
      <c r="H771" s="26"/>
      <c r="I771" s="26"/>
      <c r="J771" s="26"/>
      <c r="K771" s="26"/>
      <c r="L771" s="26"/>
    </row>
    <row r="772" spans="4:12" x14ac:dyDescent="0.25">
      <c r="D772" s="26"/>
      <c r="E772" s="26"/>
      <c r="F772" s="26"/>
      <c r="G772" s="26"/>
      <c r="H772" s="26"/>
      <c r="I772" s="26"/>
      <c r="J772" s="26"/>
      <c r="K772" s="26"/>
      <c r="L772" s="26"/>
    </row>
    <row r="773" spans="4:12" x14ac:dyDescent="0.25">
      <c r="D773" s="26"/>
      <c r="E773" s="26"/>
      <c r="F773" s="26"/>
      <c r="G773" s="26"/>
      <c r="H773" s="26"/>
      <c r="I773" s="26"/>
      <c r="J773" s="26"/>
      <c r="K773" s="26"/>
      <c r="L773" s="26"/>
    </row>
    <row r="774" spans="4:12" x14ac:dyDescent="0.25">
      <c r="D774" s="26"/>
      <c r="E774" s="26"/>
      <c r="F774" s="26"/>
      <c r="G774" s="26"/>
      <c r="H774" s="26"/>
      <c r="I774" s="26"/>
      <c r="J774" s="26"/>
      <c r="K774" s="26"/>
      <c r="L774" s="26"/>
    </row>
    <row r="775" spans="4:12" x14ac:dyDescent="0.25">
      <c r="D775" s="26"/>
      <c r="E775" s="26"/>
      <c r="F775" s="26"/>
      <c r="G775" s="26"/>
      <c r="H775" s="26"/>
      <c r="I775" s="26"/>
      <c r="J775" s="26"/>
      <c r="K775" s="26"/>
      <c r="L775" s="26"/>
    </row>
    <row r="776" spans="4:12" x14ac:dyDescent="0.25">
      <c r="D776" s="26"/>
      <c r="E776" s="26"/>
      <c r="F776" s="26"/>
      <c r="G776" s="26"/>
      <c r="H776" s="26"/>
      <c r="I776" s="26"/>
      <c r="J776" s="26"/>
      <c r="K776" s="26"/>
      <c r="L776" s="26"/>
    </row>
    <row r="777" spans="4:12" x14ac:dyDescent="0.25">
      <c r="D777" s="26"/>
      <c r="E777" s="26"/>
      <c r="F777" s="26"/>
      <c r="G777" s="26"/>
      <c r="H777" s="26"/>
      <c r="I777" s="26"/>
      <c r="J777" s="26"/>
      <c r="K777" s="26"/>
      <c r="L777" s="26"/>
    </row>
    <row r="778" spans="4:12" x14ac:dyDescent="0.25">
      <c r="D778" s="26"/>
      <c r="E778" s="26"/>
      <c r="F778" s="26"/>
      <c r="G778" s="26"/>
      <c r="H778" s="26"/>
      <c r="I778" s="26"/>
      <c r="J778" s="26"/>
      <c r="K778" s="26"/>
      <c r="L778" s="26"/>
    </row>
    <row r="779" spans="4:12" x14ac:dyDescent="0.25">
      <c r="D779" s="26"/>
      <c r="E779" s="26"/>
      <c r="F779" s="26"/>
      <c r="G779" s="26"/>
      <c r="H779" s="26"/>
      <c r="I779" s="26"/>
      <c r="J779" s="26"/>
      <c r="K779" s="26"/>
      <c r="L779" s="26"/>
    </row>
    <row r="780" spans="4:12" x14ac:dyDescent="0.25">
      <c r="D780" s="26"/>
      <c r="E780" s="26"/>
      <c r="F780" s="26"/>
      <c r="G780" s="26"/>
      <c r="H780" s="26"/>
      <c r="I780" s="26"/>
      <c r="J780" s="26"/>
      <c r="K780" s="26"/>
      <c r="L780" s="26"/>
    </row>
    <row r="781" spans="4:12" x14ac:dyDescent="0.25">
      <c r="D781" s="26"/>
      <c r="E781" s="26"/>
      <c r="F781" s="26"/>
      <c r="G781" s="26"/>
      <c r="H781" s="26"/>
      <c r="I781" s="26"/>
      <c r="J781" s="26"/>
      <c r="K781" s="26"/>
      <c r="L781" s="26"/>
    </row>
    <row r="782" spans="4:12" x14ac:dyDescent="0.25">
      <c r="D782" s="26"/>
      <c r="E782" s="26"/>
      <c r="F782" s="26"/>
      <c r="G782" s="26"/>
      <c r="H782" s="26"/>
      <c r="I782" s="26"/>
      <c r="J782" s="26"/>
      <c r="K782" s="26"/>
      <c r="L782" s="26"/>
    </row>
    <row r="783" spans="4:12" x14ac:dyDescent="0.25">
      <c r="D783" s="26"/>
      <c r="E783" s="26"/>
      <c r="F783" s="26"/>
      <c r="G783" s="26"/>
      <c r="H783" s="26"/>
      <c r="I783" s="26"/>
      <c r="J783" s="26"/>
      <c r="K783" s="26"/>
      <c r="L783" s="26"/>
    </row>
    <row r="784" spans="4:12" x14ac:dyDescent="0.25">
      <c r="D784" s="26"/>
      <c r="E784" s="26"/>
      <c r="F784" s="26"/>
      <c r="G784" s="26"/>
      <c r="H784" s="26"/>
      <c r="I784" s="26"/>
      <c r="J784" s="26"/>
      <c r="K784" s="26"/>
      <c r="L784" s="26"/>
    </row>
    <row r="785" spans="4:12" x14ac:dyDescent="0.25">
      <c r="D785" s="26"/>
      <c r="E785" s="26"/>
      <c r="F785" s="26"/>
      <c r="G785" s="26"/>
      <c r="H785" s="26"/>
      <c r="I785" s="26"/>
      <c r="J785" s="26"/>
      <c r="K785" s="26"/>
      <c r="L785" s="26"/>
    </row>
    <row r="786" spans="4:12" x14ac:dyDescent="0.25">
      <c r="D786" s="26"/>
      <c r="E786" s="26"/>
      <c r="F786" s="26"/>
      <c r="G786" s="26"/>
      <c r="H786" s="26"/>
      <c r="I786" s="26"/>
      <c r="J786" s="26"/>
      <c r="K786" s="26"/>
      <c r="L786" s="26"/>
    </row>
    <row r="787" spans="4:12" x14ac:dyDescent="0.25">
      <c r="D787" s="26"/>
      <c r="E787" s="26"/>
      <c r="F787" s="26"/>
      <c r="G787" s="26"/>
      <c r="H787" s="26"/>
      <c r="I787" s="26"/>
      <c r="J787" s="26"/>
      <c r="K787" s="26"/>
      <c r="L787" s="26"/>
    </row>
    <row r="788" spans="4:12" x14ac:dyDescent="0.25">
      <c r="D788" s="26"/>
      <c r="E788" s="26"/>
      <c r="F788" s="26"/>
      <c r="G788" s="26"/>
      <c r="H788" s="26"/>
      <c r="I788" s="26"/>
      <c r="J788" s="26"/>
      <c r="K788" s="26"/>
      <c r="L788" s="26"/>
    </row>
    <row r="789" spans="4:12" x14ac:dyDescent="0.25">
      <c r="D789" s="26"/>
      <c r="E789" s="26"/>
      <c r="F789" s="26"/>
      <c r="G789" s="26"/>
      <c r="H789" s="26"/>
      <c r="I789" s="26"/>
      <c r="J789" s="26"/>
      <c r="K789" s="26"/>
      <c r="L789" s="26"/>
    </row>
    <row r="790" spans="4:12" x14ac:dyDescent="0.25">
      <c r="D790" s="26"/>
      <c r="E790" s="26"/>
      <c r="F790" s="26"/>
      <c r="G790" s="26"/>
      <c r="H790" s="26"/>
      <c r="I790" s="26"/>
      <c r="J790" s="26"/>
      <c r="K790" s="26"/>
      <c r="L790" s="26"/>
    </row>
    <row r="791" spans="4:12" x14ac:dyDescent="0.25">
      <c r="D791" s="26"/>
      <c r="E791" s="26"/>
      <c r="F791" s="26"/>
      <c r="G791" s="26"/>
      <c r="H791" s="26"/>
      <c r="I791" s="26"/>
      <c r="J791" s="26"/>
      <c r="K791" s="26"/>
      <c r="L791" s="26"/>
    </row>
    <row r="792" spans="4:12" x14ac:dyDescent="0.25">
      <c r="D792" s="26"/>
      <c r="E792" s="26"/>
      <c r="F792" s="26"/>
      <c r="G792" s="26"/>
      <c r="H792" s="26"/>
      <c r="I792" s="26"/>
      <c r="J792" s="26"/>
      <c r="K792" s="26"/>
      <c r="L792" s="26"/>
    </row>
    <row r="793" spans="4:12" x14ac:dyDescent="0.25">
      <c r="D793" s="26"/>
      <c r="E793" s="26"/>
      <c r="F793" s="26"/>
      <c r="G793" s="26"/>
      <c r="H793" s="26"/>
      <c r="I793" s="26"/>
      <c r="J793" s="26"/>
      <c r="K793" s="26"/>
      <c r="L793" s="26"/>
    </row>
    <row r="794" spans="4:12" x14ac:dyDescent="0.25">
      <c r="D794" s="26"/>
      <c r="E794" s="26"/>
      <c r="F794" s="26"/>
      <c r="G794" s="26"/>
      <c r="H794" s="26"/>
      <c r="I794" s="26"/>
      <c r="J794" s="26"/>
      <c r="K794" s="26"/>
      <c r="L794" s="26"/>
    </row>
    <row r="795" spans="4:12" x14ac:dyDescent="0.25">
      <c r="D795" s="26"/>
      <c r="E795" s="26"/>
      <c r="F795" s="26"/>
      <c r="G795" s="26"/>
      <c r="H795" s="26"/>
      <c r="I795" s="26"/>
      <c r="J795" s="26"/>
      <c r="K795" s="26"/>
      <c r="L795" s="26"/>
    </row>
    <row r="796" spans="4:12" x14ac:dyDescent="0.25">
      <c r="D796" s="26"/>
      <c r="E796" s="26"/>
      <c r="F796" s="26"/>
      <c r="G796" s="26"/>
      <c r="H796" s="26"/>
      <c r="I796" s="26"/>
      <c r="J796" s="26"/>
    </row>
    <row r="797" spans="4:12" x14ac:dyDescent="0.25">
      <c r="D797" s="26"/>
      <c r="E797" s="26"/>
      <c r="F797" s="26"/>
      <c r="G797" s="26"/>
      <c r="H797" s="26"/>
      <c r="I797" s="26"/>
      <c r="J797" s="26"/>
    </row>
    <row r="798" spans="4:12" x14ac:dyDescent="0.25">
      <c r="D798" s="26"/>
      <c r="E798" s="26"/>
      <c r="F798" s="26"/>
      <c r="G798" s="26"/>
      <c r="H798" s="26"/>
      <c r="I798" s="26"/>
      <c r="J798" s="26"/>
    </row>
    <row r="799" spans="4:12" x14ac:dyDescent="0.25">
      <c r="D799" s="26"/>
      <c r="E799" s="26"/>
      <c r="F799" s="26"/>
      <c r="G799" s="26"/>
      <c r="H799" s="26"/>
      <c r="I799" s="26"/>
      <c r="J799" s="26"/>
    </row>
    <row r="800" spans="4:12" x14ac:dyDescent="0.25">
      <c r="D800" s="26"/>
      <c r="E800" s="26"/>
      <c r="F800" s="26"/>
      <c r="G800" s="26"/>
      <c r="H800" s="26"/>
      <c r="I800" s="26"/>
      <c r="J800" s="26"/>
    </row>
    <row r="801" spans="4:10" x14ac:dyDescent="0.25">
      <c r="D801" s="26"/>
      <c r="E801" s="26"/>
      <c r="F801" s="26"/>
      <c r="G801" s="26"/>
      <c r="H801" s="26"/>
      <c r="I801" s="26"/>
      <c r="J801" s="26"/>
    </row>
    <row r="802" spans="4:10" x14ac:dyDescent="0.25">
      <c r="D802" s="26"/>
      <c r="E802" s="26"/>
      <c r="F802" s="26"/>
      <c r="G802" s="26"/>
      <c r="H802" s="26"/>
      <c r="I802" s="26"/>
      <c r="J802" s="26"/>
    </row>
    <row r="803" spans="4:10" x14ac:dyDescent="0.25">
      <c r="D803" s="26"/>
      <c r="E803" s="26"/>
      <c r="F803" s="26"/>
      <c r="G803" s="26"/>
      <c r="H803" s="26"/>
      <c r="I803" s="26"/>
      <c r="J803" s="26"/>
    </row>
    <row r="804" spans="4:10" x14ac:dyDescent="0.25">
      <c r="D804" s="26"/>
      <c r="E804" s="26"/>
      <c r="F804" s="26"/>
      <c r="G804" s="26"/>
      <c r="H804" s="26"/>
      <c r="I804" s="26"/>
      <c r="J804" s="26"/>
    </row>
    <row r="805" spans="4:10" x14ac:dyDescent="0.25">
      <c r="D805" s="26"/>
      <c r="E805" s="26"/>
      <c r="F805" s="26"/>
      <c r="G805" s="26"/>
      <c r="H805" s="26"/>
      <c r="I805" s="26"/>
      <c r="J805" s="26"/>
    </row>
    <row r="806" spans="4:10" x14ac:dyDescent="0.25">
      <c r="D806" s="26"/>
      <c r="E806" s="26"/>
      <c r="F806" s="26"/>
      <c r="G806" s="26"/>
      <c r="H806" s="26"/>
      <c r="I806" s="26"/>
      <c r="J806" s="26"/>
    </row>
    <row r="807" spans="4:10" x14ac:dyDescent="0.25">
      <c r="D807" s="26"/>
      <c r="E807" s="26"/>
      <c r="F807" s="26"/>
      <c r="G807" s="26"/>
      <c r="H807" s="26"/>
      <c r="I807" s="26"/>
      <c r="J807" s="26"/>
    </row>
    <row r="808" spans="4:10" x14ac:dyDescent="0.25">
      <c r="D808" s="26"/>
      <c r="E808" s="26"/>
      <c r="F808" s="26"/>
      <c r="G808" s="26"/>
      <c r="H808" s="26"/>
      <c r="I808" s="26"/>
      <c r="J808" s="26"/>
    </row>
    <row r="809" spans="4:10" x14ac:dyDescent="0.25">
      <c r="D809" s="26"/>
      <c r="E809" s="26"/>
      <c r="F809" s="26"/>
      <c r="G809" s="26"/>
      <c r="H809" s="26"/>
      <c r="I809" s="26"/>
      <c r="J809" s="26"/>
    </row>
    <row r="810" spans="4:10" x14ac:dyDescent="0.25">
      <c r="D810" s="26"/>
      <c r="E810" s="26"/>
      <c r="F810" s="26"/>
      <c r="G810" s="26"/>
      <c r="H810" s="26"/>
      <c r="I810" s="26"/>
      <c r="J810" s="26"/>
    </row>
    <row r="811" spans="4:10" x14ac:dyDescent="0.25">
      <c r="D811" s="26"/>
      <c r="E811" s="26"/>
      <c r="F811" s="26"/>
      <c r="G811" s="26"/>
      <c r="H811" s="26"/>
      <c r="I811" s="26"/>
      <c r="J811" s="26"/>
    </row>
    <row r="812" spans="4:10" x14ac:dyDescent="0.25">
      <c r="D812" s="26"/>
      <c r="E812" s="26"/>
      <c r="F812" s="26"/>
      <c r="G812" s="26"/>
      <c r="H812" s="26"/>
      <c r="I812" s="26"/>
      <c r="J812" s="26"/>
    </row>
    <row r="813" spans="4:10" x14ac:dyDescent="0.25">
      <c r="D813" s="26"/>
      <c r="E813" s="26"/>
      <c r="F813" s="26"/>
      <c r="G813" s="26"/>
      <c r="H813" s="26"/>
      <c r="I813" s="26"/>
      <c r="J813" s="26"/>
    </row>
    <row r="814" spans="4:10" x14ac:dyDescent="0.25">
      <c r="D814" s="26"/>
      <c r="E814" s="26"/>
      <c r="F814" s="26"/>
      <c r="G814" s="26"/>
      <c r="H814" s="26"/>
      <c r="I814" s="26"/>
      <c r="J814" s="26"/>
    </row>
    <row r="815" spans="4:10" x14ac:dyDescent="0.25">
      <c r="D815" s="26"/>
      <c r="E815" s="26"/>
      <c r="F815" s="26"/>
      <c r="G815" s="26"/>
      <c r="H815" s="26"/>
      <c r="I815" s="26"/>
      <c r="J815" s="26"/>
    </row>
    <row r="816" spans="4:10" x14ac:dyDescent="0.25">
      <c r="D816" s="26"/>
      <c r="E816" s="26"/>
      <c r="F816" s="26"/>
      <c r="G816" s="26"/>
      <c r="H816" s="26"/>
      <c r="I816" s="26"/>
      <c r="J816" s="26"/>
    </row>
    <row r="817" spans="4:10" x14ac:dyDescent="0.25">
      <c r="D817" s="26"/>
      <c r="E817" s="26"/>
      <c r="F817" s="26"/>
      <c r="G817" s="26"/>
      <c r="H817" s="26"/>
      <c r="I817" s="26"/>
      <c r="J817" s="26"/>
    </row>
    <row r="818" spans="4:10" x14ac:dyDescent="0.25">
      <c r="D818" s="26"/>
      <c r="E818" s="26"/>
      <c r="F818" s="26"/>
      <c r="G818" s="26"/>
      <c r="H818" s="26"/>
      <c r="I818" s="26"/>
      <c r="J818" s="26"/>
    </row>
    <row r="819" spans="4:10" x14ac:dyDescent="0.25">
      <c r="D819" s="26"/>
      <c r="E819" s="26"/>
      <c r="F819" s="26"/>
      <c r="G819" s="26"/>
      <c r="H819" s="26"/>
      <c r="I819" s="26"/>
      <c r="J819" s="26"/>
    </row>
    <row r="820" spans="4:10" x14ac:dyDescent="0.25">
      <c r="D820" s="26"/>
      <c r="E820" s="26"/>
      <c r="F820" s="26"/>
      <c r="G820" s="26"/>
      <c r="H820" s="26"/>
      <c r="I820" s="26"/>
      <c r="J820" s="26"/>
    </row>
    <row r="821" spans="4:10" x14ac:dyDescent="0.25">
      <c r="D821" s="26"/>
      <c r="E821" s="26"/>
      <c r="F821" s="26"/>
      <c r="G821" s="26"/>
      <c r="H821" s="26"/>
      <c r="I821" s="26"/>
      <c r="J821" s="26"/>
    </row>
    <row r="822" spans="4:10" x14ac:dyDescent="0.25">
      <c r="D822" s="26"/>
      <c r="E822" s="26"/>
      <c r="F822" s="26"/>
      <c r="G822" s="26"/>
      <c r="H822" s="26"/>
      <c r="I822" s="26"/>
      <c r="J822" s="26"/>
    </row>
    <row r="823" spans="4:10" x14ac:dyDescent="0.25">
      <c r="D823" s="26"/>
      <c r="E823" s="26"/>
      <c r="F823" s="26"/>
      <c r="G823" s="26"/>
      <c r="H823" s="26"/>
      <c r="I823" s="26"/>
      <c r="J823" s="26"/>
    </row>
    <row r="824" spans="4:10" x14ac:dyDescent="0.25">
      <c r="D824" s="26"/>
      <c r="E824" s="26"/>
      <c r="F824" s="26"/>
      <c r="G824" s="26"/>
      <c r="H824" s="26"/>
      <c r="I824" s="26"/>
      <c r="J824" s="26"/>
    </row>
    <row r="825" spans="4:10" x14ac:dyDescent="0.25">
      <c r="D825" s="26"/>
      <c r="E825" s="26"/>
      <c r="F825" s="26"/>
      <c r="G825" s="26"/>
      <c r="H825" s="26"/>
      <c r="I825" s="26"/>
      <c r="J825" s="26"/>
    </row>
    <row r="826" spans="4:10" x14ac:dyDescent="0.25">
      <c r="D826" s="26"/>
      <c r="E826" s="26"/>
      <c r="F826" s="26"/>
      <c r="G826" s="26"/>
      <c r="H826" s="26"/>
      <c r="I826" s="26"/>
      <c r="J826" s="26"/>
    </row>
    <row r="827" spans="4:10" x14ac:dyDescent="0.25">
      <c r="D827" s="26"/>
      <c r="E827" s="26"/>
      <c r="F827" s="26"/>
      <c r="G827" s="26"/>
      <c r="H827" s="26"/>
      <c r="I827" s="26"/>
      <c r="J827" s="26"/>
    </row>
    <row r="828" spans="4:10" x14ac:dyDescent="0.25">
      <c r="D828" s="26"/>
      <c r="E828" s="26"/>
      <c r="F828" s="26"/>
      <c r="G828" s="26"/>
      <c r="H828" s="26"/>
      <c r="I828" s="26"/>
      <c r="J828" s="26"/>
    </row>
    <row r="829" spans="4:10" x14ac:dyDescent="0.25">
      <c r="D829" s="26"/>
      <c r="E829" s="26"/>
      <c r="F829" s="26"/>
      <c r="G829" s="26"/>
      <c r="H829" s="26"/>
      <c r="I829" s="26"/>
      <c r="J829" s="26"/>
    </row>
    <row r="830" spans="4:10" x14ac:dyDescent="0.25">
      <c r="D830" s="26"/>
      <c r="E830" s="26"/>
      <c r="F830" s="26"/>
      <c r="G830" s="26"/>
      <c r="H830" s="26"/>
      <c r="I830" s="26"/>
      <c r="J830" s="26"/>
    </row>
    <row r="831" spans="4:10" x14ac:dyDescent="0.25">
      <c r="D831" s="26"/>
      <c r="E831" s="26"/>
      <c r="F831" s="26"/>
      <c r="G831" s="26"/>
      <c r="H831" s="26"/>
      <c r="I831" s="26"/>
      <c r="J831" s="26"/>
    </row>
    <row r="832" spans="4:10" x14ac:dyDescent="0.25">
      <c r="D832" s="26"/>
      <c r="E832" s="26"/>
      <c r="F832" s="26"/>
      <c r="G832" s="26"/>
      <c r="H832" s="26"/>
      <c r="I832" s="26"/>
      <c r="J832" s="26"/>
    </row>
    <row r="833" spans="4:10" x14ac:dyDescent="0.25">
      <c r="D833" s="26"/>
      <c r="E833" s="26"/>
      <c r="F833" s="26"/>
      <c r="G833" s="26"/>
      <c r="H833" s="26"/>
      <c r="I833" s="26"/>
      <c r="J833" s="26"/>
    </row>
    <row r="834" spans="4:10" x14ac:dyDescent="0.25">
      <c r="D834" s="26"/>
      <c r="E834" s="26"/>
      <c r="F834" s="26"/>
      <c r="G834" s="26"/>
      <c r="H834" s="26"/>
      <c r="I834" s="26"/>
      <c r="J834" s="26"/>
    </row>
    <row r="835" spans="4:10" x14ac:dyDescent="0.25">
      <c r="D835" s="26"/>
      <c r="E835" s="26"/>
      <c r="F835" s="26"/>
      <c r="G835" s="26"/>
      <c r="H835" s="26"/>
      <c r="I835" s="26"/>
      <c r="J835" s="26"/>
    </row>
    <row r="836" spans="4:10" x14ac:dyDescent="0.25">
      <c r="D836" s="26"/>
      <c r="E836" s="26"/>
      <c r="F836" s="26"/>
      <c r="G836" s="26"/>
      <c r="H836" s="26"/>
      <c r="I836" s="26"/>
      <c r="J836" s="26"/>
    </row>
    <row r="837" spans="4:10" x14ac:dyDescent="0.25">
      <c r="D837" s="26"/>
      <c r="E837" s="26"/>
      <c r="F837" s="26"/>
      <c r="G837" s="26"/>
      <c r="H837" s="26"/>
      <c r="I837" s="26"/>
      <c r="J837" s="26"/>
    </row>
    <row r="838" spans="4:10" x14ac:dyDescent="0.25">
      <c r="D838" s="26"/>
      <c r="E838" s="26"/>
      <c r="F838" s="26"/>
      <c r="G838" s="26"/>
      <c r="H838" s="26"/>
      <c r="I838" s="26"/>
      <c r="J838" s="26"/>
    </row>
    <row r="839" spans="4:10" x14ac:dyDescent="0.25">
      <c r="D839" s="26"/>
      <c r="E839" s="26"/>
      <c r="F839" s="26"/>
      <c r="G839" s="26"/>
      <c r="H839" s="26"/>
      <c r="I839" s="26"/>
      <c r="J839" s="26"/>
    </row>
    <row r="840" spans="4:10" x14ac:dyDescent="0.25">
      <c r="D840" s="26"/>
      <c r="E840" s="26"/>
      <c r="F840" s="26"/>
      <c r="G840" s="26"/>
      <c r="H840" s="26"/>
      <c r="I840" s="26"/>
      <c r="J840" s="26"/>
    </row>
    <row r="841" spans="4:10" x14ac:dyDescent="0.25">
      <c r="D841" s="26"/>
      <c r="E841" s="26"/>
      <c r="F841" s="26"/>
      <c r="G841" s="26"/>
      <c r="H841" s="26"/>
      <c r="I841" s="26"/>
      <c r="J841" s="26"/>
    </row>
    <row r="842" spans="4:10" x14ac:dyDescent="0.25">
      <c r="D842" s="26"/>
      <c r="E842" s="26"/>
      <c r="F842" s="26"/>
      <c r="G842" s="26"/>
      <c r="H842" s="26"/>
      <c r="I842" s="26"/>
      <c r="J842" s="26"/>
    </row>
    <row r="843" spans="4:10" x14ac:dyDescent="0.25">
      <c r="D843" s="26"/>
      <c r="E843" s="26"/>
      <c r="F843" s="26"/>
      <c r="G843" s="26"/>
      <c r="H843" s="26"/>
      <c r="I843" s="26"/>
      <c r="J843" s="26"/>
    </row>
    <row r="844" spans="4:10" x14ac:dyDescent="0.25">
      <c r="D844" s="26"/>
      <c r="E844" s="26"/>
      <c r="F844" s="26"/>
      <c r="G844" s="26"/>
      <c r="H844" s="26"/>
      <c r="I844" s="26"/>
      <c r="J844" s="26"/>
    </row>
    <row r="845" spans="4:10" x14ac:dyDescent="0.25">
      <c r="D845" s="26"/>
      <c r="E845" s="26"/>
      <c r="F845" s="26"/>
      <c r="G845" s="26"/>
      <c r="H845" s="26"/>
      <c r="I845" s="26"/>
      <c r="J845" s="26"/>
    </row>
    <row r="846" spans="4:10" x14ac:dyDescent="0.25">
      <c r="D846" s="26"/>
      <c r="E846" s="26"/>
      <c r="F846" s="26"/>
      <c r="G846" s="26"/>
      <c r="H846" s="26"/>
      <c r="I846" s="26"/>
      <c r="J846" s="26"/>
    </row>
    <row r="847" spans="4:10" x14ac:dyDescent="0.25">
      <c r="D847" s="26"/>
      <c r="E847" s="26"/>
      <c r="F847" s="26"/>
      <c r="G847" s="26"/>
      <c r="H847" s="26"/>
      <c r="I847" s="26"/>
      <c r="J847" s="26"/>
    </row>
    <row r="848" spans="4:10" x14ac:dyDescent="0.25">
      <c r="D848" s="26"/>
      <c r="E848" s="26"/>
      <c r="F848" s="26"/>
      <c r="G848" s="26"/>
      <c r="H848" s="26"/>
      <c r="I848" s="26"/>
      <c r="J848" s="26"/>
    </row>
    <row r="849" spans="4:10" x14ac:dyDescent="0.25">
      <c r="D849" s="26"/>
      <c r="E849" s="26"/>
      <c r="F849" s="26"/>
      <c r="G849" s="26"/>
      <c r="H849" s="26"/>
      <c r="I849" s="26"/>
      <c r="J849" s="26"/>
    </row>
    <row r="850" spans="4:10" x14ac:dyDescent="0.25">
      <c r="D850" s="26"/>
      <c r="E850" s="26"/>
      <c r="F850" s="26"/>
      <c r="G850" s="26"/>
      <c r="H850" s="26"/>
      <c r="I850" s="26"/>
      <c r="J850" s="26"/>
    </row>
    <row r="851" spans="4:10" x14ac:dyDescent="0.25">
      <c r="D851" s="26"/>
      <c r="E851" s="26"/>
      <c r="F851" s="26"/>
      <c r="G851" s="26"/>
      <c r="H851" s="26"/>
      <c r="I851" s="26"/>
      <c r="J851" s="26"/>
    </row>
    <row r="852" spans="4:10" x14ac:dyDescent="0.25">
      <c r="D852" s="26"/>
      <c r="E852" s="26"/>
      <c r="F852" s="26"/>
      <c r="G852" s="26"/>
      <c r="H852" s="26"/>
      <c r="I852" s="26"/>
      <c r="J852" s="26"/>
    </row>
    <row r="853" spans="4:10" x14ac:dyDescent="0.25">
      <c r="D853" s="26"/>
      <c r="E853" s="26"/>
      <c r="F853" s="26"/>
      <c r="G853" s="26"/>
      <c r="H853" s="26"/>
      <c r="I853" s="26"/>
      <c r="J853" s="26"/>
    </row>
    <row r="854" spans="4:10" x14ac:dyDescent="0.25">
      <c r="D854" s="26"/>
      <c r="E854" s="26"/>
      <c r="F854" s="26"/>
      <c r="G854" s="26"/>
      <c r="H854" s="26"/>
      <c r="I854" s="26"/>
      <c r="J854" s="26"/>
    </row>
    <row r="855" spans="4:10" x14ac:dyDescent="0.25">
      <c r="D855" s="26"/>
      <c r="E855" s="26"/>
      <c r="F855" s="26"/>
      <c r="G855" s="26"/>
      <c r="H855" s="26"/>
      <c r="I855" s="26"/>
      <c r="J855" s="26"/>
    </row>
    <row r="856" spans="4:10" x14ac:dyDescent="0.25">
      <c r="D856" s="26"/>
      <c r="E856" s="26"/>
      <c r="F856" s="26"/>
      <c r="G856" s="26"/>
      <c r="H856" s="26"/>
      <c r="I856" s="26"/>
      <c r="J856" s="26"/>
    </row>
    <row r="857" spans="4:10" x14ac:dyDescent="0.25">
      <c r="D857" s="26"/>
      <c r="E857" s="26"/>
      <c r="F857" s="26"/>
      <c r="G857" s="26"/>
      <c r="H857" s="26"/>
      <c r="I857" s="26"/>
      <c r="J857" s="26"/>
    </row>
    <row r="858" spans="4:10" x14ac:dyDescent="0.25">
      <c r="D858" s="26"/>
      <c r="E858" s="26"/>
      <c r="F858" s="26"/>
      <c r="G858" s="26"/>
      <c r="H858" s="26"/>
      <c r="I858" s="26"/>
      <c r="J858" s="26"/>
    </row>
    <row r="859" spans="4:10" x14ac:dyDescent="0.25">
      <c r="D859" s="26"/>
      <c r="E859" s="26"/>
      <c r="F859" s="26"/>
      <c r="G859" s="26"/>
      <c r="H859" s="26"/>
      <c r="I859" s="26"/>
      <c r="J859" s="26"/>
    </row>
    <row r="860" spans="4:10" x14ac:dyDescent="0.25">
      <c r="D860" s="26"/>
      <c r="E860" s="26"/>
      <c r="F860" s="26"/>
      <c r="G860" s="26"/>
      <c r="H860" s="26"/>
      <c r="I860" s="26"/>
      <c r="J860" s="26"/>
    </row>
    <row r="861" spans="4:10" x14ac:dyDescent="0.25">
      <c r="D861" s="26"/>
      <c r="E861" s="26"/>
      <c r="F861" s="26"/>
      <c r="G861" s="26"/>
      <c r="H861" s="26"/>
      <c r="I861" s="26"/>
      <c r="J861" s="26"/>
    </row>
    <row r="862" spans="4:10" x14ac:dyDescent="0.25">
      <c r="D862" s="26"/>
      <c r="E862" s="26"/>
      <c r="F862" s="26"/>
      <c r="G862" s="26"/>
      <c r="H862" s="26"/>
      <c r="I862" s="26"/>
      <c r="J862" s="26"/>
    </row>
    <row r="863" spans="4:10" x14ac:dyDescent="0.25">
      <c r="D863" s="26"/>
      <c r="E863" s="26"/>
      <c r="F863" s="26"/>
      <c r="G863" s="26"/>
      <c r="H863" s="26"/>
      <c r="I863" s="26"/>
      <c r="J863" s="26"/>
    </row>
    <row r="864" spans="4:10" x14ac:dyDescent="0.25">
      <c r="D864" s="26"/>
      <c r="E864" s="26"/>
      <c r="F864" s="26"/>
      <c r="G864" s="26"/>
      <c r="H864" s="26"/>
      <c r="I864" s="26"/>
      <c r="J864" s="26"/>
    </row>
    <row r="865" spans="4:10" x14ac:dyDescent="0.25">
      <c r="D865" s="26"/>
      <c r="E865" s="26"/>
      <c r="F865" s="26"/>
      <c r="G865" s="26"/>
      <c r="H865" s="26"/>
      <c r="I865" s="26"/>
      <c r="J865" s="26"/>
    </row>
    <row r="866" spans="4:10" x14ac:dyDescent="0.25">
      <c r="D866" s="26"/>
      <c r="E866" s="26"/>
      <c r="F866" s="26"/>
      <c r="G866" s="26"/>
      <c r="H866" s="26"/>
      <c r="I866" s="26"/>
      <c r="J866" s="26"/>
    </row>
    <row r="867" spans="4:10" x14ac:dyDescent="0.25">
      <c r="D867" s="26"/>
      <c r="E867" s="26"/>
      <c r="F867" s="26"/>
      <c r="G867" s="26"/>
      <c r="H867" s="26"/>
      <c r="I867" s="26"/>
      <c r="J867" s="26"/>
    </row>
    <row r="868" spans="4:10" x14ac:dyDescent="0.25">
      <c r="D868" s="26"/>
      <c r="E868" s="26"/>
      <c r="F868" s="26"/>
      <c r="G868" s="26"/>
      <c r="H868" s="26"/>
      <c r="I868" s="26"/>
      <c r="J868" s="26"/>
    </row>
    <row r="869" spans="4:10" x14ac:dyDescent="0.25">
      <c r="D869" s="26"/>
      <c r="E869" s="26"/>
      <c r="F869" s="26"/>
      <c r="G869" s="26"/>
      <c r="H869" s="26"/>
      <c r="I869" s="26"/>
      <c r="J869" s="26"/>
    </row>
    <row r="870" spans="4:10" x14ac:dyDescent="0.25">
      <c r="J870" s="1"/>
    </row>
    <row r="871" spans="4:10" x14ac:dyDescent="0.25">
      <c r="J871" s="1"/>
    </row>
    <row r="872" spans="4:10" x14ac:dyDescent="0.25">
      <c r="J872" s="1"/>
    </row>
    <row r="873" spans="4:10" x14ac:dyDescent="0.25">
      <c r="J873" s="1"/>
    </row>
    <row r="874" spans="4:10" x14ac:dyDescent="0.25">
      <c r="J874" s="1"/>
    </row>
    <row r="875" spans="4:10" x14ac:dyDescent="0.25">
      <c r="J875" s="1"/>
    </row>
    <row r="876" spans="4:10" x14ac:dyDescent="0.25">
      <c r="J876" s="1"/>
    </row>
    <row r="877" spans="4:10" x14ac:dyDescent="0.25">
      <c r="J877" s="1"/>
    </row>
    <row r="878" spans="4:10" x14ac:dyDescent="0.25">
      <c r="J878" s="1"/>
    </row>
    <row r="879" spans="4:10" x14ac:dyDescent="0.25">
      <c r="J879" s="1"/>
    </row>
    <row r="880" spans="4:10" x14ac:dyDescent="0.25">
      <c r="J880" s="1"/>
    </row>
    <row r="881" spans="10:10" x14ac:dyDescent="0.25">
      <c r="J881" s="1"/>
    </row>
    <row r="882" spans="10:10" x14ac:dyDescent="0.25">
      <c r="J882" s="1"/>
    </row>
    <row r="883" spans="10:10" x14ac:dyDescent="0.25">
      <c r="J883" s="1"/>
    </row>
    <row r="884" spans="10:10" x14ac:dyDescent="0.25">
      <c r="J884" s="1"/>
    </row>
    <row r="885" spans="10:10" x14ac:dyDescent="0.25">
      <c r="J885" s="1"/>
    </row>
    <row r="886" spans="10:10" x14ac:dyDescent="0.25">
      <c r="J886" s="1"/>
    </row>
    <row r="887" spans="10:10" x14ac:dyDescent="0.25">
      <c r="J887" s="1"/>
    </row>
    <row r="888" spans="10:10" x14ac:dyDescent="0.25">
      <c r="J888" s="1"/>
    </row>
    <row r="889" spans="10:10" x14ac:dyDescent="0.25">
      <c r="J889" s="1"/>
    </row>
    <row r="890" spans="10:10" x14ac:dyDescent="0.25">
      <c r="J890" s="1"/>
    </row>
    <row r="891" spans="10:10" x14ac:dyDescent="0.25">
      <c r="J891" s="1"/>
    </row>
    <row r="892" spans="10:10" x14ac:dyDescent="0.25">
      <c r="J892" s="1"/>
    </row>
    <row r="893" spans="10:10" x14ac:dyDescent="0.25">
      <c r="J893" s="1"/>
    </row>
    <row r="894" spans="10:10" x14ac:dyDescent="0.25">
      <c r="J894" s="1"/>
    </row>
    <row r="895" spans="10:10" x14ac:dyDescent="0.25">
      <c r="J895" s="1"/>
    </row>
    <row r="896" spans="10:10" x14ac:dyDescent="0.25">
      <c r="J896" s="1"/>
    </row>
    <row r="897" spans="10:10" x14ac:dyDescent="0.25">
      <c r="J897" s="1"/>
    </row>
    <row r="898" spans="10:10" x14ac:dyDescent="0.25">
      <c r="J898" s="1"/>
    </row>
    <row r="899" spans="10:10" x14ac:dyDescent="0.25">
      <c r="J899" s="1"/>
    </row>
    <row r="900" spans="10:10" x14ac:dyDescent="0.25">
      <c r="J900" s="1"/>
    </row>
    <row r="901" spans="10:10" x14ac:dyDescent="0.25">
      <c r="J901" s="1"/>
    </row>
    <row r="902" spans="10:10" x14ac:dyDescent="0.25">
      <c r="J902" s="1"/>
    </row>
    <row r="903" spans="10:10" x14ac:dyDescent="0.25">
      <c r="J903" s="1"/>
    </row>
    <row r="904" spans="10:10" x14ac:dyDescent="0.25">
      <c r="J904" s="1"/>
    </row>
    <row r="905" spans="10:10" x14ac:dyDescent="0.25">
      <c r="J905" s="1"/>
    </row>
    <row r="906" spans="10:10" x14ac:dyDescent="0.25">
      <c r="J906" s="1"/>
    </row>
    <row r="907" spans="10:10" x14ac:dyDescent="0.25">
      <c r="J907" s="1"/>
    </row>
    <row r="908" spans="10:10" x14ac:dyDescent="0.25">
      <c r="J908" s="1"/>
    </row>
    <row r="909" spans="10:10" x14ac:dyDescent="0.25">
      <c r="J909" s="1"/>
    </row>
    <row r="910" spans="10:10" x14ac:dyDescent="0.25">
      <c r="J910" s="1"/>
    </row>
    <row r="911" spans="10:10" x14ac:dyDescent="0.25">
      <c r="J911" s="1"/>
    </row>
    <row r="912" spans="10:10" x14ac:dyDescent="0.25">
      <c r="J912" s="1"/>
    </row>
    <row r="913" spans="10:10" x14ac:dyDescent="0.25">
      <c r="J913" s="1"/>
    </row>
    <row r="914" spans="10:10" x14ac:dyDescent="0.25">
      <c r="J914" s="1"/>
    </row>
    <row r="915" spans="10:10" x14ac:dyDescent="0.25">
      <c r="J915" s="1"/>
    </row>
    <row r="916" spans="10:10" x14ac:dyDescent="0.25">
      <c r="J916" s="1"/>
    </row>
    <row r="917" spans="10:10" x14ac:dyDescent="0.25">
      <c r="J917" s="1"/>
    </row>
    <row r="918" spans="10:10" x14ac:dyDescent="0.25">
      <c r="J918" s="1"/>
    </row>
    <row r="919" spans="10:10" x14ac:dyDescent="0.25">
      <c r="J919" s="1"/>
    </row>
    <row r="920" spans="10:10" x14ac:dyDescent="0.25">
      <c r="J920" s="1"/>
    </row>
    <row r="921" spans="10:10" x14ac:dyDescent="0.25">
      <c r="J921" s="1"/>
    </row>
    <row r="922" spans="10:10" x14ac:dyDescent="0.25">
      <c r="J922" s="1"/>
    </row>
    <row r="923" spans="10:10" x14ac:dyDescent="0.25">
      <c r="J923" s="1"/>
    </row>
    <row r="924" spans="10:10" x14ac:dyDescent="0.25">
      <c r="J924" s="1"/>
    </row>
    <row r="925" spans="10:10" x14ac:dyDescent="0.25">
      <c r="J925" s="1"/>
    </row>
    <row r="926" spans="10:10" x14ac:dyDescent="0.25">
      <c r="J926" s="1"/>
    </row>
    <row r="927" spans="10:10" x14ac:dyDescent="0.25">
      <c r="J927" s="1"/>
    </row>
    <row r="928" spans="10:10" x14ac:dyDescent="0.25">
      <c r="J928" s="1"/>
    </row>
    <row r="929" spans="10:10" x14ac:dyDescent="0.25">
      <c r="J929" s="1"/>
    </row>
    <row r="930" spans="10:10" x14ac:dyDescent="0.25">
      <c r="J930" s="1"/>
    </row>
    <row r="931" spans="10:10" x14ac:dyDescent="0.25">
      <c r="J931" s="1"/>
    </row>
    <row r="932" spans="10:10" x14ac:dyDescent="0.25">
      <c r="J932" s="1"/>
    </row>
    <row r="933" spans="10:10" x14ac:dyDescent="0.25">
      <c r="J933" s="1"/>
    </row>
    <row r="934" spans="10:10" x14ac:dyDescent="0.25">
      <c r="J934" s="1"/>
    </row>
    <row r="935" spans="10:10" x14ac:dyDescent="0.25">
      <c r="J935" s="1"/>
    </row>
    <row r="936" spans="10:10" x14ac:dyDescent="0.25">
      <c r="J936" s="1"/>
    </row>
    <row r="937" spans="10:10" x14ac:dyDescent="0.25">
      <c r="J937" s="1"/>
    </row>
  </sheetData>
  <mergeCells count="415">
    <mergeCell ref="A384:J384"/>
    <mergeCell ref="A391:I391"/>
    <mergeCell ref="A398:J398"/>
    <mergeCell ref="A405:J405"/>
    <mergeCell ref="A419:J419"/>
    <mergeCell ref="A425:J425"/>
    <mergeCell ref="A431:J431"/>
    <mergeCell ref="J217:J222"/>
    <mergeCell ref="J208:J212"/>
    <mergeCell ref="A323:J323"/>
    <mergeCell ref="A330:J330"/>
    <mergeCell ref="A336:J336"/>
    <mergeCell ref="A343:J343"/>
    <mergeCell ref="A350:J350"/>
    <mergeCell ref="A355:J355"/>
    <mergeCell ref="A360:J360"/>
    <mergeCell ref="A370:J370"/>
    <mergeCell ref="A377:J377"/>
    <mergeCell ref="A263:J263"/>
    <mergeCell ref="A271:J271"/>
    <mergeCell ref="A277:J277"/>
    <mergeCell ref="A283:J283"/>
    <mergeCell ref="A289:J289"/>
    <mergeCell ref="A295:J295"/>
    <mergeCell ref="A305:J305"/>
    <mergeCell ref="A311:J311"/>
    <mergeCell ref="A317:J317"/>
    <mergeCell ref="A27:J27"/>
    <mergeCell ref="A70:J70"/>
    <mergeCell ref="A75:J75"/>
    <mergeCell ref="A92:J92"/>
    <mergeCell ref="A97:J97"/>
    <mergeCell ref="A102:J102"/>
    <mergeCell ref="A107:J107"/>
    <mergeCell ref="A112:J112"/>
    <mergeCell ref="A126:J126"/>
    <mergeCell ref="J110:J111"/>
    <mergeCell ref="J95:J96"/>
    <mergeCell ref="J90:J91"/>
    <mergeCell ref="J66:J69"/>
    <mergeCell ref="C82:J82"/>
    <mergeCell ref="J84:J85"/>
    <mergeCell ref="A84:B84"/>
    <mergeCell ref="A85:H85"/>
    <mergeCell ref="A86:J86"/>
    <mergeCell ref="A435:H435"/>
    <mergeCell ref="A429:B429"/>
    <mergeCell ref="J30:J37"/>
    <mergeCell ref="J41:J48"/>
    <mergeCell ref="J52:J55"/>
    <mergeCell ref="A123:B123"/>
    <mergeCell ref="A124:B124"/>
    <mergeCell ref="A209:B209"/>
    <mergeCell ref="A210:B210"/>
    <mergeCell ref="A211:B211"/>
    <mergeCell ref="J434:J435"/>
    <mergeCell ref="J428:J430"/>
    <mergeCell ref="J423:J424"/>
    <mergeCell ref="J366:J369"/>
    <mergeCell ref="J353:J354"/>
    <mergeCell ref="J346:J349"/>
    <mergeCell ref="J333:J335"/>
    <mergeCell ref="J327:J329"/>
    <mergeCell ref="J315:J316"/>
    <mergeCell ref="J300:J304"/>
    <mergeCell ref="J293:J294"/>
    <mergeCell ref="C432:J432"/>
    <mergeCell ref="A433:B433"/>
    <mergeCell ref="A434:B434"/>
    <mergeCell ref="B420:J420"/>
    <mergeCell ref="C421:J421"/>
    <mergeCell ref="A422:B422"/>
    <mergeCell ref="A423:B423"/>
    <mergeCell ref="A424:H424"/>
    <mergeCell ref="C426:J426"/>
    <mergeCell ref="A427:B427"/>
    <mergeCell ref="A428:B428"/>
    <mergeCell ref="A430:H430"/>
    <mergeCell ref="C407:J408"/>
    <mergeCell ref="A409:B409"/>
    <mergeCell ref="A410:B410"/>
    <mergeCell ref="J410:J418"/>
    <mergeCell ref="A418:H418"/>
    <mergeCell ref="A411:B411"/>
    <mergeCell ref="A412:B412"/>
    <mergeCell ref="A413:B413"/>
    <mergeCell ref="A414:B414"/>
    <mergeCell ref="A415:B415"/>
    <mergeCell ref="A416:B416"/>
    <mergeCell ref="A417:B417"/>
    <mergeCell ref="A397:H397"/>
    <mergeCell ref="B399:J399"/>
    <mergeCell ref="C400:J401"/>
    <mergeCell ref="A402:B402"/>
    <mergeCell ref="A403:B403"/>
    <mergeCell ref="J403:J404"/>
    <mergeCell ref="A404:H404"/>
    <mergeCell ref="B406:J406"/>
    <mergeCell ref="A342:H342"/>
    <mergeCell ref="A366:B366"/>
    <mergeCell ref="A364:B364"/>
    <mergeCell ref="C351:J351"/>
    <mergeCell ref="A352:B352"/>
    <mergeCell ref="A353:B353"/>
    <mergeCell ref="A354:H354"/>
    <mergeCell ref="B362:J362"/>
    <mergeCell ref="A365:B365"/>
    <mergeCell ref="A372:B372"/>
    <mergeCell ref="A379:B379"/>
    <mergeCell ref="J381:J383"/>
    <mergeCell ref="J374:J376"/>
    <mergeCell ref="A376:H376"/>
    <mergeCell ref="B361:J361"/>
    <mergeCell ref="C363:J364"/>
    <mergeCell ref="A320:B320"/>
    <mergeCell ref="A197:B197"/>
    <mergeCell ref="A198:B198"/>
    <mergeCell ref="A38:J38"/>
    <mergeCell ref="A14:J14"/>
    <mergeCell ref="A81:J81"/>
    <mergeCell ref="A56:J56"/>
    <mergeCell ref="A63:J63"/>
    <mergeCell ref="J287:J288"/>
    <mergeCell ref="J227:J229"/>
    <mergeCell ref="C290:J291"/>
    <mergeCell ref="A292:B292"/>
    <mergeCell ref="A293:B293"/>
    <mergeCell ref="A294:H294"/>
    <mergeCell ref="A122:B122"/>
    <mergeCell ref="C318:J319"/>
    <mergeCell ref="A177:H177"/>
    <mergeCell ref="C179:J180"/>
    <mergeCell ref="A181:B181"/>
    <mergeCell ref="A259:B259"/>
    <mergeCell ref="J259:J262"/>
    <mergeCell ref="A262:H262"/>
    <mergeCell ref="A247:B247"/>
    <mergeCell ref="J247:J248"/>
    <mergeCell ref="A316:H316"/>
    <mergeCell ref="A196:B196"/>
    <mergeCell ref="A156:B156"/>
    <mergeCell ref="A157:B157"/>
    <mergeCell ref="A158:B158"/>
    <mergeCell ref="A159:B159"/>
    <mergeCell ref="A161:B161"/>
    <mergeCell ref="A160:B160"/>
    <mergeCell ref="A162:B162"/>
    <mergeCell ref="A187:B187"/>
    <mergeCell ref="A188:B188"/>
    <mergeCell ref="A189:B189"/>
    <mergeCell ref="A270:H270"/>
    <mergeCell ref="A217:B217"/>
    <mergeCell ref="A218:B218"/>
    <mergeCell ref="A219:B219"/>
    <mergeCell ref="A220:B220"/>
    <mergeCell ref="C297:J298"/>
    <mergeCell ref="A299:B299"/>
    <mergeCell ref="A303:B303"/>
    <mergeCell ref="A304:H304"/>
    <mergeCell ref="A315:B315"/>
    <mergeCell ref="A165:J165"/>
    <mergeCell ref="A178:J178"/>
    <mergeCell ref="B1:F1"/>
    <mergeCell ref="G1:J2"/>
    <mergeCell ref="B2:F2"/>
    <mergeCell ref="B3:F3"/>
    <mergeCell ref="H3:J3"/>
    <mergeCell ref="B4:F4"/>
    <mergeCell ref="H4:J4"/>
    <mergeCell ref="A5:F5"/>
    <mergeCell ref="A7:J7"/>
    <mergeCell ref="A6:J6"/>
    <mergeCell ref="C444:D444"/>
    <mergeCell ref="G444:I444"/>
    <mergeCell ref="C442:D442"/>
    <mergeCell ref="C443:D443"/>
    <mergeCell ref="G443:I443"/>
    <mergeCell ref="A373:B373"/>
    <mergeCell ref="A374:B374"/>
    <mergeCell ref="A368:B368"/>
    <mergeCell ref="A369:H369"/>
    <mergeCell ref="A375:B375"/>
    <mergeCell ref="C385:J386"/>
    <mergeCell ref="A388:B388"/>
    <mergeCell ref="J388:J390"/>
    <mergeCell ref="A389:B389"/>
    <mergeCell ref="A390:H390"/>
    <mergeCell ref="B392:J392"/>
    <mergeCell ref="C393:J394"/>
    <mergeCell ref="A395:B395"/>
    <mergeCell ref="A396:B396"/>
    <mergeCell ref="J396:J397"/>
    <mergeCell ref="C378:J379"/>
    <mergeCell ref="A382:B382"/>
    <mergeCell ref="A383:H383"/>
    <mergeCell ref="C371:J372"/>
    <mergeCell ref="C325:J325"/>
    <mergeCell ref="A327:B327"/>
    <mergeCell ref="A329:H329"/>
    <mergeCell ref="C331:J331"/>
    <mergeCell ref="A332:B332"/>
    <mergeCell ref="A334:B334"/>
    <mergeCell ref="A335:H335"/>
    <mergeCell ref="A347:B347"/>
    <mergeCell ref="A349:H349"/>
    <mergeCell ref="A333:B333"/>
    <mergeCell ref="C338:J338"/>
    <mergeCell ref="A339:B339"/>
    <mergeCell ref="A340:B340"/>
    <mergeCell ref="A346:B346"/>
    <mergeCell ref="A328:B328"/>
    <mergeCell ref="A326:B326"/>
    <mergeCell ref="A345:B345"/>
    <mergeCell ref="A348:B348"/>
    <mergeCell ref="A341:B341"/>
    <mergeCell ref="B324:J324"/>
    <mergeCell ref="A275:B275"/>
    <mergeCell ref="J275:J276"/>
    <mergeCell ref="A276:H276"/>
    <mergeCell ref="A280:B280"/>
    <mergeCell ref="A281:B281"/>
    <mergeCell ref="J281:J282"/>
    <mergeCell ref="A282:H282"/>
    <mergeCell ref="C284:J285"/>
    <mergeCell ref="B296:J296"/>
    <mergeCell ref="A302:B302"/>
    <mergeCell ref="A300:B300"/>
    <mergeCell ref="A301:B301"/>
    <mergeCell ref="C306:J307"/>
    <mergeCell ref="A308:B308"/>
    <mergeCell ref="A309:B309"/>
    <mergeCell ref="A310:H310"/>
    <mergeCell ref="C312:J313"/>
    <mergeCell ref="A286:B286"/>
    <mergeCell ref="A287:B287"/>
    <mergeCell ref="A288:H288"/>
    <mergeCell ref="A314:B314"/>
    <mergeCell ref="A248:H248"/>
    <mergeCell ref="C256:J257"/>
    <mergeCell ref="A258:B258"/>
    <mergeCell ref="A234:B234"/>
    <mergeCell ref="A235:B235"/>
    <mergeCell ref="J235:J236"/>
    <mergeCell ref="A236:H236"/>
    <mergeCell ref="A229:H229"/>
    <mergeCell ref="C224:J225"/>
    <mergeCell ref="A226:B226"/>
    <mergeCell ref="A228:B228"/>
    <mergeCell ref="C250:J251"/>
    <mergeCell ref="A252:B252"/>
    <mergeCell ref="A253:B253"/>
    <mergeCell ref="J253:J254"/>
    <mergeCell ref="A254:H254"/>
    <mergeCell ref="A230:J230"/>
    <mergeCell ref="A237:J237"/>
    <mergeCell ref="A243:J243"/>
    <mergeCell ref="A249:J249"/>
    <mergeCell ref="A255:J255"/>
    <mergeCell ref="C244:J245"/>
    <mergeCell ref="A246:B246"/>
    <mergeCell ref="A140:B140"/>
    <mergeCell ref="A141:B141"/>
    <mergeCell ref="C136:J137"/>
    <mergeCell ref="A164:H164"/>
    <mergeCell ref="A186:B186"/>
    <mergeCell ref="C192:J193"/>
    <mergeCell ref="A194:B194"/>
    <mergeCell ref="A199:B199"/>
    <mergeCell ref="A200:B200"/>
    <mergeCell ref="A201:B201"/>
    <mergeCell ref="A202:B202"/>
    <mergeCell ref="A155:B155"/>
    <mergeCell ref="B231:J231"/>
    <mergeCell ref="C232:J233"/>
    <mergeCell ref="A221:B221"/>
    <mergeCell ref="A163:B163"/>
    <mergeCell ref="A195:B195"/>
    <mergeCell ref="A149:H149"/>
    <mergeCell ref="A143:H143"/>
    <mergeCell ref="A144:J144"/>
    <mergeCell ref="A150:J150"/>
    <mergeCell ref="A191:J191"/>
    <mergeCell ref="C127:J128"/>
    <mergeCell ref="A129:B129"/>
    <mergeCell ref="A130:B130"/>
    <mergeCell ref="A131:B131"/>
    <mergeCell ref="A132:B132"/>
    <mergeCell ref="A134:H134"/>
    <mergeCell ref="A222:H222"/>
    <mergeCell ref="A216:B216"/>
    <mergeCell ref="A227:B227"/>
    <mergeCell ref="A135:J135"/>
    <mergeCell ref="A204:J204"/>
    <mergeCell ref="A213:J213"/>
    <mergeCell ref="A223:J223"/>
    <mergeCell ref="J195:J203"/>
    <mergeCell ref="J182:J190"/>
    <mergeCell ref="J169:J177"/>
    <mergeCell ref="J155:J164"/>
    <mergeCell ref="J148:J149"/>
    <mergeCell ref="J139:J143"/>
    <mergeCell ref="J59:J62"/>
    <mergeCell ref="A62:H62"/>
    <mergeCell ref="C64:J64"/>
    <mergeCell ref="A69:H69"/>
    <mergeCell ref="C71:J71"/>
    <mergeCell ref="C98:J98"/>
    <mergeCell ref="A125:H125"/>
    <mergeCell ref="B113:J113"/>
    <mergeCell ref="C114:J115"/>
    <mergeCell ref="A116:B116"/>
    <mergeCell ref="A117:B117"/>
    <mergeCell ref="A118:B118"/>
    <mergeCell ref="A119:B119"/>
    <mergeCell ref="A120:B120"/>
    <mergeCell ref="A121:B121"/>
    <mergeCell ref="J117:J125"/>
    <mergeCell ref="J105:J106"/>
    <mergeCell ref="A106:H106"/>
    <mergeCell ref="B8:J8"/>
    <mergeCell ref="B16:J16"/>
    <mergeCell ref="B15:J15"/>
    <mergeCell ref="C17:J17"/>
    <mergeCell ref="A80:H80"/>
    <mergeCell ref="C50:J50"/>
    <mergeCell ref="C76:J76"/>
    <mergeCell ref="J78:J80"/>
    <mergeCell ref="A55:H55"/>
    <mergeCell ref="A49:J49"/>
    <mergeCell ref="J19:J26"/>
    <mergeCell ref="A26:H26"/>
    <mergeCell ref="C28:J28"/>
    <mergeCell ref="A37:H37"/>
    <mergeCell ref="C39:J39"/>
    <mergeCell ref="A48:H48"/>
    <mergeCell ref="C9:J10"/>
    <mergeCell ref="A11:B11"/>
    <mergeCell ref="A12:B12"/>
    <mergeCell ref="J12:J13"/>
    <mergeCell ref="A13:H13"/>
    <mergeCell ref="J73:J74"/>
    <mergeCell ref="A74:H74"/>
    <mergeCell ref="C57:J57"/>
    <mergeCell ref="A380:B380"/>
    <mergeCell ref="A381:B381"/>
    <mergeCell ref="C278:J279"/>
    <mergeCell ref="C272:J273"/>
    <mergeCell ref="C108:J108"/>
    <mergeCell ref="A111:H111"/>
    <mergeCell ref="B337:J337"/>
    <mergeCell ref="C344:J344"/>
    <mergeCell ref="J100:J101"/>
    <mergeCell ref="A101:H101"/>
    <mergeCell ref="C103:J103"/>
    <mergeCell ref="B151:J151"/>
    <mergeCell ref="C152:J153"/>
    <mergeCell ref="A154:B154"/>
    <mergeCell ref="A269:B269"/>
    <mergeCell ref="C205:J206"/>
    <mergeCell ref="A207:B207"/>
    <mergeCell ref="A208:B208"/>
    <mergeCell ref="A212:H212"/>
    <mergeCell ref="C238:J239"/>
    <mergeCell ref="A240:B240"/>
    <mergeCell ref="A241:B241"/>
    <mergeCell ref="J241:J242"/>
    <mergeCell ref="A242:H242"/>
    <mergeCell ref="A386:B386"/>
    <mergeCell ref="A387:B387"/>
    <mergeCell ref="A367:B367"/>
    <mergeCell ref="C166:J167"/>
    <mergeCell ref="A168:B168"/>
    <mergeCell ref="A203:H203"/>
    <mergeCell ref="C214:J215"/>
    <mergeCell ref="A190:H190"/>
    <mergeCell ref="A169:B169"/>
    <mergeCell ref="A170:B170"/>
    <mergeCell ref="A171:B171"/>
    <mergeCell ref="A172:B172"/>
    <mergeCell ref="A173:B173"/>
    <mergeCell ref="A174:B174"/>
    <mergeCell ref="A175:B175"/>
    <mergeCell ref="A176:B176"/>
    <mergeCell ref="A182:B182"/>
    <mergeCell ref="A183:B183"/>
    <mergeCell ref="A184:B184"/>
    <mergeCell ref="A185:B185"/>
    <mergeCell ref="A274:B274"/>
    <mergeCell ref="A260:B260"/>
    <mergeCell ref="A261:B261"/>
    <mergeCell ref="A268:B268"/>
    <mergeCell ref="C264:J265"/>
    <mergeCell ref="A266:B266"/>
    <mergeCell ref="A267:B267"/>
    <mergeCell ref="J267:J270"/>
    <mergeCell ref="A78:B78"/>
    <mergeCell ref="A79:B79"/>
    <mergeCell ref="C356:J356"/>
    <mergeCell ref="A357:B357"/>
    <mergeCell ref="A358:B358"/>
    <mergeCell ref="J358:J359"/>
    <mergeCell ref="A359:H359"/>
    <mergeCell ref="C93:J93"/>
    <mergeCell ref="A96:H96"/>
    <mergeCell ref="B87:J87"/>
    <mergeCell ref="C88:J88"/>
    <mergeCell ref="A91:H91"/>
    <mergeCell ref="J130:J134"/>
    <mergeCell ref="A133:B133"/>
    <mergeCell ref="A142:B142"/>
    <mergeCell ref="C145:J146"/>
    <mergeCell ref="A147:B147"/>
    <mergeCell ref="A148:B148"/>
    <mergeCell ref="A138:B138"/>
    <mergeCell ref="A139:B139"/>
  </mergeCells>
  <phoneticPr fontId="10" type="noConversion"/>
  <conditionalFormatting sqref="A139:A142">
    <cfRule type="expression" dxfId="52" priority="56">
      <formula>#REF!="DESCRIÇÃO:"</formula>
    </cfRule>
  </conditionalFormatting>
  <conditionalFormatting sqref="A169:A176 C169:D176 F169:H176 J169 E170 E173 E175:E176 A333:A334 I333:I334">
    <cfRule type="expression" dxfId="51" priority="42">
      <formula>#REF!="DESCRIÇÃO:"</formula>
    </cfRule>
  </conditionalFormatting>
  <conditionalFormatting sqref="A182:A189 C182:G189 J182">
    <cfRule type="expression" dxfId="50" priority="41">
      <formula>#REF!="DESCRIÇÃO:"</formula>
    </cfRule>
  </conditionalFormatting>
  <conditionalFormatting sqref="A195:A202 C195:C202 J195 A339:J341">
    <cfRule type="expression" dxfId="49" priority="61">
      <formula>#REF!="DESCRIÇÃO:"</formula>
    </cfRule>
  </conditionalFormatting>
  <conditionalFormatting sqref="A208:A211 C208:J208 C209:I211">
    <cfRule type="expression" dxfId="48" priority="38">
      <formula>#REF!="DESCRIÇÃO:"</formula>
    </cfRule>
  </conditionalFormatting>
  <conditionalFormatting sqref="A396 C396:J396">
    <cfRule type="expression" dxfId="47" priority="34">
      <formula>#REF!="DESCRIÇÃO:"</formula>
    </cfRule>
  </conditionalFormatting>
  <conditionalFormatting sqref="A403 C403:J403">
    <cfRule type="expression" dxfId="46" priority="31">
      <formula>#REF!="DESCRIÇÃO:"</formula>
    </cfRule>
  </conditionalFormatting>
  <conditionalFormatting sqref="A410:A417 C410:J417">
    <cfRule type="expression" dxfId="45" priority="29">
      <formula>#REF!="DESCRIÇÃO:"</formula>
    </cfRule>
  </conditionalFormatting>
  <conditionalFormatting sqref="A423 C423:I423">
    <cfRule type="expression" dxfId="44" priority="13">
      <formula>#REF!="DESCRIÇÃO:"</formula>
    </cfRule>
  </conditionalFormatting>
  <conditionalFormatting sqref="A429 C429:I429">
    <cfRule type="expression" dxfId="43" priority="25">
      <formula>#REF!="DESCRIÇÃO:"</formula>
    </cfRule>
  </conditionalFormatting>
  <conditionalFormatting sqref="A434 C434:J434">
    <cfRule type="expression" dxfId="42" priority="15">
      <formula>#REF!="DESCRIÇÃO:"</formula>
    </cfRule>
  </conditionalFormatting>
  <conditionalFormatting sqref="A364:B364">
    <cfRule type="expression" dxfId="41" priority="159">
      <formula>#REF!="DESCRIÇÃO:"</formula>
    </cfRule>
  </conditionalFormatting>
  <conditionalFormatting sqref="A372:B372">
    <cfRule type="expression" dxfId="40" priority="135">
      <formula>#REF!="DESCRIÇÃO:"</formula>
    </cfRule>
  </conditionalFormatting>
  <conditionalFormatting sqref="A379:B379">
    <cfRule type="expression" dxfId="39" priority="49">
      <formula>#REF!="DESCRIÇÃO:"</formula>
    </cfRule>
  </conditionalFormatting>
  <conditionalFormatting sqref="A386:B386">
    <cfRule type="expression" dxfId="38" priority="48">
      <formula>#REF!="DESCRIÇÃO:"</formula>
    </cfRule>
  </conditionalFormatting>
  <conditionalFormatting sqref="A433:B433">
    <cfRule type="expression" dxfId="37" priority="20">
      <formula>#REF!="DESCRIÇÃO:"</formula>
    </cfRule>
  </conditionalFormatting>
  <conditionalFormatting sqref="A326:C327 J326:J327 A328 C328">
    <cfRule type="expression" dxfId="36" priority="138">
      <formula>#REF!="DESCRIÇÃO:"</formula>
    </cfRule>
  </conditionalFormatting>
  <conditionalFormatting sqref="A345:C345 F345:J345">
    <cfRule type="expression" dxfId="35" priority="116">
      <formula>#REF!="DESCRIÇÃO:"</formula>
    </cfRule>
  </conditionalFormatting>
  <conditionalFormatting sqref="A352:C352 F352:I352 A353:I353">
    <cfRule type="expression" dxfId="34" priority="84">
      <formula>#REF!="DESCRIÇÃO:"</formula>
    </cfRule>
  </conditionalFormatting>
  <conditionalFormatting sqref="A357:C357 F357:I357 A358:I358">
    <cfRule type="expression" dxfId="33" priority="7">
      <formula>#REF!="DESCRIÇÃO:"</formula>
    </cfRule>
  </conditionalFormatting>
  <conditionalFormatting sqref="A148:H148">
    <cfRule type="expression" dxfId="32" priority="70">
      <formula>#REF!="DESCRIÇÃO:"</formula>
    </cfRule>
  </conditionalFormatting>
  <conditionalFormatting sqref="A422:I422">
    <cfRule type="expression" dxfId="31" priority="14">
      <formula>#REF!="DESCRIÇÃO:"</formula>
    </cfRule>
  </conditionalFormatting>
  <conditionalFormatting sqref="A116:J116 A125:I125 A126 A129:J129 A134:I134 A135">
    <cfRule type="expression" dxfId="30" priority="211">
      <formula>#REF!="DESCRIÇÃO:"</formula>
    </cfRule>
  </conditionalFormatting>
  <conditionalFormatting sqref="A138:J138">
    <cfRule type="expression" dxfId="29" priority="73">
      <formula>#REF!="DESCRIÇÃO:"</formula>
    </cfRule>
  </conditionalFormatting>
  <conditionalFormatting sqref="A143:I143 A144">
    <cfRule type="expression" dxfId="28" priority="86">
      <formula>#REF!="DESCRIÇÃO:"</formula>
    </cfRule>
  </conditionalFormatting>
  <conditionalFormatting sqref="A346:J346 A347:I348">
    <cfRule type="expression" dxfId="27" priority="85">
      <formula>#REF!="DESCRIÇÃO:"</formula>
    </cfRule>
  </conditionalFormatting>
  <conditionalFormatting sqref="A395:J395 A397:I397 A398 A402:J402 A404:I404 A405 A409:J409 A418:I418">
    <cfRule type="expression" dxfId="26" priority="36">
      <formula>#REF!="DESCRIÇÃO:"</formula>
    </cfRule>
  </conditionalFormatting>
  <conditionalFormatting sqref="A427:J428">
    <cfRule type="expression" dxfId="25" priority="11">
      <formula>#REF!="DESCRIÇÃO:"</formula>
    </cfRule>
  </conditionalFormatting>
  <conditionalFormatting sqref="C114 C127 C136">
    <cfRule type="expression" dxfId="24" priority="192">
      <formula>#REF!="DESCRIÇÃO:"</formula>
    </cfRule>
  </conditionalFormatting>
  <conditionalFormatting sqref="C145">
    <cfRule type="expression" dxfId="23" priority="72">
      <formula>#REF!="DESCRIÇÃO:"</formula>
    </cfRule>
  </conditionalFormatting>
  <conditionalFormatting sqref="C393">
    <cfRule type="expression" dxfId="22" priority="35">
      <formula>#REF!="DESCRIÇÃO:"</formula>
    </cfRule>
  </conditionalFormatting>
  <conditionalFormatting sqref="C400">
    <cfRule type="expression" dxfId="21" priority="32">
      <formula>#REF!="DESCRIÇÃO:"</formula>
    </cfRule>
  </conditionalFormatting>
  <conditionalFormatting sqref="C407">
    <cfRule type="expression" dxfId="20" priority="30">
      <formula>#REF!="DESCRIÇÃO:"</formula>
    </cfRule>
  </conditionalFormatting>
  <conditionalFormatting sqref="C227:D228">
    <cfRule type="expression" dxfId="19" priority="57">
      <formula>#REF!="DESCRIÇÃO:"</formula>
    </cfRule>
  </conditionalFormatting>
  <conditionalFormatting sqref="C118:H124">
    <cfRule type="expression" dxfId="18" priority="44">
      <formula>#REF!="DESCRIÇÃO:"</formula>
    </cfRule>
  </conditionalFormatting>
  <conditionalFormatting sqref="C131:H133">
    <cfRule type="expression" dxfId="17" priority="37">
      <formula>#REF!="DESCRIÇÃO:"</formula>
    </cfRule>
  </conditionalFormatting>
  <conditionalFormatting sqref="C117:J117 A117:A124 A130:A133 A155:A163 C155:G155 A217:A221 C217:J217 A332:B332 C156:H156 I118:I124 I155:J155 C157:G163 H158 H160 H162 I156:I163 C218:I221">
    <cfRule type="expression" dxfId="16" priority="91">
      <formula>#REF!="DESCRIÇÃO:"</formula>
    </cfRule>
  </conditionalFormatting>
  <conditionalFormatting sqref="C130:J130 I131:I133">
    <cfRule type="expression" dxfId="15" priority="210">
      <formula>#REF!="DESCRIÇÃO:"</formula>
    </cfRule>
  </conditionalFormatting>
  <conditionalFormatting sqref="C139:J139 C140:I142">
    <cfRule type="expression" dxfId="14" priority="43">
      <formula>#REF!="DESCRIÇÃO:"</formula>
    </cfRule>
  </conditionalFormatting>
  <conditionalFormatting sqref="D327:I328">
    <cfRule type="expression" dxfId="13" priority="9">
      <formula>#REF!="DESCRIÇÃO:"</formula>
    </cfRule>
  </conditionalFormatting>
  <conditionalFormatting sqref="G227:G228">
    <cfRule type="expression" dxfId="12" priority="58">
      <formula>#REF!="DESCRIÇÃO:"</formula>
    </cfRule>
  </conditionalFormatting>
  <conditionalFormatting sqref="J147:J148 A149:I149 A150">
    <cfRule type="expression" dxfId="11" priority="71">
      <formula>#REF!="DESCRIÇÃO:"</formula>
    </cfRule>
  </conditionalFormatting>
  <conditionalFormatting sqref="J227">
    <cfRule type="expression" dxfId="10" priority="182">
      <formula>#REF!="DESCRIÇÃO:"</formula>
    </cfRule>
  </conditionalFormatting>
  <conditionalFormatting sqref="J333 C333:H334">
    <cfRule type="expression" dxfId="9" priority="166">
      <formula>#REF!="DESCRIÇÃO:"</formula>
    </cfRule>
  </conditionalFormatting>
  <conditionalFormatting sqref="J352:J353">
    <cfRule type="expression" dxfId="8" priority="115">
      <formula>#REF!="DESCRIÇÃO:"</formula>
    </cfRule>
  </conditionalFormatting>
  <conditionalFormatting sqref="J357:J358">
    <cfRule type="expression" dxfId="7" priority="8">
      <formula>#REF!="DESCRIÇÃO:"</formula>
    </cfRule>
  </conditionalFormatting>
  <conditionalFormatting sqref="J422:J423">
    <cfRule type="expression" dxfId="6" priority="17">
      <formula>#REF!="DESCRIÇÃO:"</formula>
    </cfRule>
  </conditionalFormatting>
  <conditionalFormatting sqref="H155 H157 H159 H161 H163">
    <cfRule type="expression" dxfId="5" priority="6">
      <formula>#REF!="DESCRIÇÃO:"</formula>
    </cfRule>
  </conditionalFormatting>
  <conditionalFormatting sqref="H183 H186 H189 I182:I189">
    <cfRule type="expression" dxfId="4" priority="5">
      <formula>#REF!="DESCRIÇÃO:"</formula>
    </cfRule>
  </conditionalFormatting>
  <conditionalFormatting sqref="H182 H184:H185 H187:H188">
    <cfRule type="expression" dxfId="3" priority="4">
      <formula>#REF!="DESCRIÇÃO:"</formula>
    </cfRule>
  </conditionalFormatting>
  <conditionalFormatting sqref="D195:G202">
    <cfRule type="expression" dxfId="2" priority="3">
      <formula>#REF!="DESCRIÇÃO:"</formula>
    </cfRule>
  </conditionalFormatting>
  <conditionalFormatting sqref="H196 H199 H202 I195:I202">
    <cfRule type="expression" dxfId="1" priority="2">
      <formula>#REF!="DESCRIÇÃO:"</formula>
    </cfRule>
  </conditionalFormatting>
  <conditionalFormatting sqref="H195 H197:H198 H200:H201">
    <cfRule type="expression" dxfId="0" priority="1">
      <formula>#REF!="DESCRIÇÃO:"</formula>
    </cfRule>
  </conditionalFormatting>
  <pageMargins left="0.25" right="0.25" top="0.75" bottom="0.75" header="0.3" footer="0.3"/>
  <pageSetup paperSize="9" scale="44" fitToHeight="0" orientation="landscape" r:id="rId1"/>
  <headerFooter>
    <oddFooter>&amp;Lvlkengenhariaprojetos@gmail.com
@vlkengenharia
(38) 99977-6300&amp;CVLK ENGENHARIA
Av. Coronel Prates, nº 409, Sala 301, Centro, Montes Claros-MG&amp;RPágina &amp;P de &amp;N</oddFooter>
  </headerFooter>
  <rowBreaks count="7" manualBreakCount="7">
    <brk id="56" max="9" man="1"/>
    <brk id="112" max="9" man="1"/>
    <brk id="171" max="9" man="1"/>
    <brk id="230" max="9" man="1"/>
    <brk id="289" max="9" man="1"/>
    <brk id="346" max="9" man="1"/>
    <brk id="406"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F92CA-A0AB-4AAD-AAB8-B417963C7831}">
  <sheetPr>
    <pageSetUpPr fitToPage="1"/>
  </sheetPr>
  <dimension ref="A1:I30"/>
  <sheetViews>
    <sheetView view="pageBreakPreview" zoomScale="80" zoomScaleNormal="60" zoomScaleSheetLayoutView="80" workbookViewId="0">
      <selection activeCell="A3" sqref="A3:D3"/>
    </sheetView>
  </sheetViews>
  <sheetFormatPr defaultRowHeight="15" x14ac:dyDescent="0.25"/>
  <cols>
    <col min="1" max="1" width="17.140625" customWidth="1"/>
    <col min="2" max="2" width="74.42578125" customWidth="1"/>
    <col min="3" max="8" width="37.5703125" customWidth="1"/>
    <col min="9" max="9" width="14" bestFit="1" customWidth="1"/>
  </cols>
  <sheetData>
    <row r="1" spans="1:9" ht="36" customHeight="1" x14ac:dyDescent="0.25">
      <c r="A1" s="197" t="s">
        <v>556</v>
      </c>
      <c r="B1" s="198"/>
      <c r="C1" s="198"/>
      <c r="D1" s="198"/>
      <c r="E1" s="198"/>
      <c r="F1" s="199"/>
      <c r="G1" s="199"/>
      <c r="H1" s="200"/>
    </row>
    <row r="2" spans="1:9" ht="36" customHeight="1" x14ac:dyDescent="0.25">
      <c r="A2" s="201"/>
      <c r="B2" s="202"/>
      <c r="C2" s="202"/>
      <c r="D2" s="202"/>
      <c r="E2" s="202"/>
      <c r="F2" s="203"/>
      <c r="G2" s="203"/>
      <c r="H2" s="204"/>
    </row>
    <row r="3" spans="1:9" ht="33" customHeight="1" x14ac:dyDescent="0.25">
      <c r="A3" s="205" t="s">
        <v>592</v>
      </c>
      <c r="B3" s="206"/>
      <c r="C3" s="206"/>
      <c r="D3" s="207"/>
      <c r="E3" s="118" t="s">
        <v>215</v>
      </c>
      <c r="F3" s="118"/>
      <c r="G3" s="208">
        <f ca="1">TODAY()</f>
        <v>46161</v>
      </c>
      <c r="H3" s="209"/>
    </row>
    <row r="4" spans="1:9" ht="15.75" x14ac:dyDescent="0.25">
      <c r="A4" s="210" t="s">
        <v>593</v>
      </c>
      <c r="B4" s="211"/>
      <c r="C4" s="211"/>
      <c r="D4" s="212"/>
      <c r="E4" s="139" t="s">
        <v>216</v>
      </c>
      <c r="F4" s="139"/>
      <c r="G4" s="123"/>
      <c r="H4" s="125"/>
    </row>
    <row r="5" spans="1:9" ht="15.75" x14ac:dyDescent="0.25">
      <c r="A5" s="213" t="s">
        <v>594</v>
      </c>
      <c r="B5" s="206"/>
      <c r="C5" s="206"/>
      <c r="D5" s="207"/>
      <c r="E5" s="214" t="s">
        <v>217</v>
      </c>
      <c r="F5" s="214"/>
      <c r="G5" s="214"/>
      <c r="H5" s="215"/>
    </row>
    <row r="6" spans="1:9" ht="15.75" x14ac:dyDescent="0.25">
      <c r="A6" s="216" t="s">
        <v>234</v>
      </c>
      <c r="B6" s="217"/>
      <c r="C6" s="104" t="s">
        <v>86</v>
      </c>
      <c r="D6" s="218">
        <f>'[1]PLANILHA ORÇAMENTÁRIA '!J7</f>
        <v>0.24660000000000001</v>
      </c>
      <c r="E6" s="219"/>
      <c r="F6" s="219"/>
      <c r="G6" s="219"/>
      <c r="H6" s="220"/>
    </row>
    <row r="7" spans="1:9" ht="15.75" x14ac:dyDescent="0.25">
      <c r="A7" s="221" t="s">
        <v>222</v>
      </c>
      <c r="B7" s="222"/>
      <c r="C7" s="108" t="s">
        <v>223</v>
      </c>
      <c r="D7" s="40">
        <v>0.03</v>
      </c>
      <c r="E7" s="104" t="s">
        <v>218</v>
      </c>
      <c r="F7" s="39" t="s">
        <v>219</v>
      </c>
      <c r="G7" s="104" t="s">
        <v>220</v>
      </c>
      <c r="H7" s="48" t="s">
        <v>221</v>
      </c>
    </row>
    <row r="8" spans="1:9" ht="15.75" x14ac:dyDescent="0.25">
      <c r="A8" s="223"/>
      <c r="B8" s="139"/>
      <c r="C8" s="139"/>
      <c r="D8" s="139"/>
      <c r="E8" s="139"/>
      <c r="F8" s="123"/>
      <c r="G8" s="123"/>
      <c r="H8" s="224"/>
    </row>
    <row r="9" spans="1:9" x14ac:dyDescent="0.25">
      <c r="A9" s="225" t="str">
        <f>'[2]Planilha Orcamentária'!A4</f>
        <v xml:space="preserve">OBRA: </v>
      </c>
      <c r="B9" s="226" t="s">
        <v>557</v>
      </c>
      <c r="C9" s="227" t="s">
        <v>558</v>
      </c>
      <c r="D9" s="227" t="s">
        <v>559</v>
      </c>
      <c r="E9" s="227" t="s">
        <v>560</v>
      </c>
      <c r="F9" s="228"/>
      <c r="G9" s="228"/>
      <c r="H9" s="229"/>
    </row>
    <row r="10" spans="1:9" x14ac:dyDescent="0.25">
      <c r="A10" s="225"/>
      <c r="B10" s="226"/>
      <c r="C10" s="227"/>
      <c r="D10" s="227"/>
      <c r="E10" s="227"/>
      <c r="F10" s="228"/>
      <c r="G10" s="228"/>
      <c r="H10" s="229"/>
    </row>
    <row r="11" spans="1:9" ht="15.75" x14ac:dyDescent="0.25">
      <c r="A11" s="225"/>
      <c r="B11" s="226"/>
      <c r="C11" s="227"/>
      <c r="D11" s="227"/>
      <c r="E11" s="230" t="s">
        <v>561</v>
      </c>
      <c r="F11" s="230" t="s">
        <v>562</v>
      </c>
      <c r="G11" s="230" t="s">
        <v>563</v>
      </c>
      <c r="H11" s="231" t="s">
        <v>564</v>
      </c>
    </row>
    <row r="12" spans="1:9" ht="15.75" x14ac:dyDescent="0.25">
      <c r="A12" s="232">
        <v>1</v>
      </c>
      <c r="B12" s="233" t="s">
        <v>1</v>
      </c>
      <c r="C12" s="234" t="s">
        <v>565</v>
      </c>
      <c r="D12" s="235">
        <f>D13/$D$23</f>
        <v>5.6968871767757489E-3</v>
      </c>
      <c r="E12" s="235">
        <v>1</v>
      </c>
      <c r="F12" s="235"/>
      <c r="G12" s="235"/>
      <c r="H12" s="236"/>
    </row>
    <row r="13" spans="1:9" ht="15.75" x14ac:dyDescent="0.25">
      <c r="A13" s="232"/>
      <c r="B13" s="233"/>
      <c r="C13" s="237" t="s">
        <v>566</v>
      </c>
      <c r="D13" s="238">
        <f>'PLANILHA ORÇAMENTÁRIA'!J11</f>
        <v>1501.56</v>
      </c>
      <c r="E13" s="238">
        <f>E12*$D$13</f>
        <v>1501.56</v>
      </c>
      <c r="F13" s="238">
        <f>F12*$D$13</f>
        <v>0</v>
      </c>
      <c r="G13" s="238">
        <f>G12*$D$13</f>
        <v>0</v>
      </c>
      <c r="H13" s="239">
        <f>H12*$D$13</f>
        <v>0</v>
      </c>
      <c r="I13" s="268"/>
    </row>
    <row r="14" spans="1:9" ht="15.75" x14ac:dyDescent="0.25">
      <c r="A14" s="232">
        <v>2</v>
      </c>
      <c r="B14" s="233" t="s">
        <v>240</v>
      </c>
      <c r="C14" s="234" t="s">
        <v>565</v>
      </c>
      <c r="D14" s="235">
        <f>D15/$D$23</f>
        <v>0.69320546156942031</v>
      </c>
      <c r="E14" s="235">
        <v>0.3</v>
      </c>
      <c r="F14" s="235">
        <v>0.3</v>
      </c>
      <c r="G14" s="235">
        <v>0.3</v>
      </c>
      <c r="H14" s="236">
        <v>0.1</v>
      </c>
      <c r="I14" s="268"/>
    </row>
    <row r="15" spans="1:9" ht="15.75" x14ac:dyDescent="0.25">
      <c r="A15" s="232"/>
      <c r="B15" s="233"/>
      <c r="C15" s="237" t="s">
        <v>566</v>
      </c>
      <c r="D15" s="238">
        <f>'PLANILHA ORÇAMENTÁRIA'!J13</f>
        <v>182711.99</v>
      </c>
      <c r="E15" s="238">
        <f>E14*$D$15</f>
        <v>54813.596999999994</v>
      </c>
      <c r="F15" s="238">
        <f t="shared" ref="F15:H15" si="0">F14*$D$15</f>
        <v>54813.596999999994</v>
      </c>
      <c r="G15" s="238">
        <f t="shared" si="0"/>
        <v>54813.596999999994</v>
      </c>
      <c r="H15" s="238">
        <f t="shared" si="0"/>
        <v>18271.199000000001</v>
      </c>
      <c r="I15" s="268"/>
    </row>
    <row r="16" spans="1:9" ht="15.75" x14ac:dyDescent="0.25">
      <c r="A16" s="232">
        <v>3</v>
      </c>
      <c r="B16" s="233" t="s">
        <v>133</v>
      </c>
      <c r="C16" s="234" t="s">
        <v>565</v>
      </c>
      <c r="D16" s="235">
        <f>D17/$D$23</f>
        <v>0.1328291034008014</v>
      </c>
      <c r="E16" s="235"/>
      <c r="F16" s="235"/>
      <c r="G16" s="235">
        <v>0.5</v>
      </c>
      <c r="H16" s="236">
        <v>0.5</v>
      </c>
      <c r="I16" s="268"/>
    </row>
    <row r="17" spans="1:9" ht="15.75" x14ac:dyDescent="0.25">
      <c r="A17" s="232"/>
      <c r="B17" s="233"/>
      <c r="C17" s="237" t="s">
        <v>566</v>
      </c>
      <c r="D17" s="238">
        <f>'PLANILHA ORÇAMENTÁRIA'!J67</f>
        <v>35010.5</v>
      </c>
      <c r="E17" s="238">
        <f>E16*$D$17</f>
        <v>0</v>
      </c>
      <c r="F17" s="238">
        <f t="shared" ref="F17:G17" si="1">F16*$D$17</f>
        <v>0</v>
      </c>
      <c r="G17" s="238">
        <f t="shared" si="1"/>
        <v>17505.25</v>
      </c>
      <c r="H17" s="239">
        <f>H16*$D$17</f>
        <v>17505.25</v>
      </c>
      <c r="I17" s="268"/>
    </row>
    <row r="18" spans="1:9" ht="15.75" x14ac:dyDescent="0.25">
      <c r="A18" s="232">
        <v>4</v>
      </c>
      <c r="B18" s="233" t="s">
        <v>569</v>
      </c>
      <c r="C18" s="234" t="s">
        <v>565</v>
      </c>
      <c r="D18" s="235">
        <f>D19/$D$23</f>
        <v>0.16215967249158797</v>
      </c>
      <c r="E18" s="235">
        <v>0.3</v>
      </c>
      <c r="F18" s="235">
        <v>0.4</v>
      </c>
      <c r="G18" s="235">
        <v>0.3</v>
      </c>
      <c r="H18" s="236"/>
      <c r="I18" s="268"/>
    </row>
    <row r="19" spans="1:9" ht="15.75" x14ac:dyDescent="0.25">
      <c r="A19" s="232"/>
      <c r="B19" s="233"/>
      <c r="C19" s="237" t="s">
        <v>566</v>
      </c>
      <c r="D19" s="238">
        <f>'PLANILHA ORÇAMENTÁRIA'!J83</f>
        <v>42741.32</v>
      </c>
      <c r="E19" s="238">
        <f>E18*$D$19</f>
        <v>12822.395999999999</v>
      </c>
      <c r="F19" s="238">
        <f t="shared" ref="F19:G19" si="2">F18*$D$19</f>
        <v>17096.528000000002</v>
      </c>
      <c r="G19" s="238">
        <f t="shared" si="2"/>
        <v>12822.395999999999</v>
      </c>
      <c r="H19" s="239">
        <f>H18*$D$19</f>
        <v>0</v>
      </c>
      <c r="I19" s="268"/>
    </row>
    <row r="20" spans="1:9" ht="15.75" x14ac:dyDescent="0.25">
      <c r="A20" s="232">
        <v>5</v>
      </c>
      <c r="B20" s="240" t="s">
        <v>570</v>
      </c>
      <c r="C20" s="234" t="s">
        <v>565</v>
      </c>
      <c r="D20" s="235">
        <f>D21/$D$23</f>
        <v>6.1088753614144441E-3</v>
      </c>
      <c r="E20" s="235"/>
      <c r="F20" s="235"/>
      <c r="G20" s="235"/>
      <c r="H20" s="236">
        <v>1</v>
      </c>
      <c r="I20" s="268"/>
    </row>
    <row r="21" spans="1:9" ht="15.75" x14ac:dyDescent="0.25">
      <c r="A21" s="232"/>
      <c r="B21" s="241"/>
      <c r="C21" s="237" t="s">
        <v>566</v>
      </c>
      <c r="D21" s="238">
        <f>'PLANILHA ORÇAMENTÁRIA'!J138</f>
        <v>1610.15</v>
      </c>
      <c r="E21" s="238">
        <f>E20*$D$21</f>
        <v>0</v>
      </c>
      <c r="F21" s="238">
        <f>F20*$D$21</f>
        <v>0</v>
      </c>
      <c r="G21" s="238">
        <f>G20*$D$21</f>
        <v>0</v>
      </c>
      <c r="H21" s="239">
        <f>H20*$D$21</f>
        <v>1610.15</v>
      </c>
      <c r="I21" s="268"/>
    </row>
    <row r="22" spans="1:9" ht="15.75" x14ac:dyDescent="0.25">
      <c r="A22" s="232" t="s">
        <v>15</v>
      </c>
      <c r="B22" s="242"/>
      <c r="C22" s="234" t="s">
        <v>565</v>
      </c>
      <c r="D22" s="243">
        <f>ROUND(SUM(D16+D14+D18+D20+D12),2)</f>
        <v>1</v>
      </c>
      <c r="E22" s="243">
        <f>E23/$D$23</f>
        <v>0.26230642739507826</v>
      </c>
      <c r="F22" s="243">
        <f t="shared" ref="F22:G22" si="3">F23/$D$23</f>
        <v>0.27282550746746131</v>
      </c>
      <c r="G22" s="243">
        <f t="shared" si="3"/>
        <v>0.32302409191870318</v>
      </c>
      <c r="H22" s="244">
        <f>H23/$D$23</f>
        <v>0.14184397321875719</v>
      </c>
      <c r="I22" s="268"/>
    </row>
    <row r="23" spans="1:9" ht="15.75" x14ac:dyDescent="0.25">
      <c r="A23" s="232"/>
      <c r="B23" s="242"/>
      <c r="C23" s="245" t="s">
        <v>566</v>
      </c>
      <c r="D23" s="246">
        <f>ROUND(SUM(D15+D17+D19+D21+D13),4)</f>
        <v>263575.52</v>
      </c>
      <c r="E23" s="246">
        <f>ROUND(SUM(E15+E17+E19+E13+E21),4)</f>
        <v>69137.553</v>
      </c>
      <c r="F23" s="246">
        <f>ROUND(SUM(F15+F17+F19+F13+F21),4)</f>
        <v>71910.125</v>
      </c>
      <c r="G23" s="246">
        <f>ROUND(SUM(G15+G17+G19+G13+G21),4)</f>
        <v>85141.243000000002</v>
      </c>
      <c r="H23" s="247">
        <f>ROUND(SUM(H15+H17+H19+H13+H21),4)</f>
        <v>37386.599000000002</v>
      </c>
    </row>
    <row r="24" spans="1:9" ht="15.75" x14ac:dyDescent="0.25">
      <c r="A24" s="248"/>
      <c r="B24" s="249"/>
      <c r="C24" s="249"/>
      <c r="D24" s="249"/>
      <c r="E24" s="249"/>
      <c r="F24" s="249"/>
      <c r="G24" s="249"/>
      <c r="H24" s="250"/>
    </row>
    <row r="25" spans="1:9" ht="63.75" customHeight="1" x14ac:dyDescent="0.25">
      <c r="A25" s="251"/>
      <c r="B25" s="252"/>
      <c r="C25" s="252"/>
      <c r="D25" s="252"/>
      <c r="E25" s="253"/>
      <c r="F25" s="253"/>
      <c r="G25" s="253"/>
      <c r="H25" s="267"/>
    </row>
    <row r="26" spans="1:9" ht="15.75" x14ac:dyDescent="0.25">
      <c r="A26" s="251"/>
      <c r="B26" s="255"/>
      <c r="C26" s="255"/>
      <c r="D26" s="252"/>
      <c r="E26" s="256"/>
      <c r="F26" s="257"/>
      <c r="G26" s="257"/>
      <c r="H26" s="254"/>
    </row>
    <row r="27" spans="1:9" ht="15.75" x14ac:dyDescent="0.25">
      <c r="A27" s="251"/>
      <c r="B27" s="258" t="str">
        <f>'[1]MEMÓRIA DE CÁLCULO '!C175</f>
        <v xml:space="preserve">KÁREN MARIANA SOARES VIEIRA </v>
      </c>
      <c r="C27" s="258"/>
      <c r="D27" s="252"/>
      <c r="E27" s="259" t="s">
        <v>567</v>
      </c>
      <c r="F27" s="259"/>
      <c r="G27" s="259"/>
      <c r="H27" s="254"/>
    </row>
    <row r="28" spans="1:9" ht="15.75" x14ac:dyDescent="0.25">
      <c r="A28" s="251"/>
      <c r="B28" s="260" t="str">
        <f>'[1]PLANILHA ORÇAMENTÁRIA '!C49</f>
        <v>ENGENHEIRA CIVIL 332.425/D-MG</v>
      </c>
      <c r="C28" s="260"/>
      <c r="D28" s="252"/>
      <c r="E28" s="261" t="s">
        <v>568</v>
      </c>
      <c r="F28" s="261"/>
      <c r="G28" s="261"/>
      <c r="H28" s="254"/>
    </row>
    <row r="29" spans="1:9" ht="15.75" x14ac:dyDescent="0.25">
      <c r="A29" s="251"/>
      <c r="B29" s="179"/>
      <c r="C29" s="262"/>
      <c r="D29" s="262"/>
      <c r="E29" s="262"/>
      <c r="F29" s="263"/>
      <c r="G29" s="263"/>
      <c r="H29" s="254"/>
    </row>
    <row r="30" spans="1:9" ht="16.5" thickBot="1" x14ac:dyDescent="0.3">
      <c r="A30" s="264"/>
      <c r="B30" s="265"/>
      <c r="C30" s="265"/>
      <c r="D30" s="265"/>
      <c r="E30" s="265"/>
      <c r="F30" s="265"/>
      <c r="G30" s="265"/>
      <c r="H30" s="266"/>
    </row>
  </sheetData>
  <mergeCells count="33">
    <mergeCell ref="B28:C28"/>
    <mergeCell ref="E28:G28"/>
    <mergeCell ref="A18:A19"/>
    <mergeCell ref="B18:B19"/>
    <mergeCell ref="A22:B23"/>
    <mergeCell ref="B26:C26"/>
    <mergeCell ref="B27:C27"/>
    <mergeCell ref="E27:G27"/>
    <mergeCell ref="A20:A21"/>
    <mergeCell ref="B20:B21"/>
    <mergeCell ref="A12:A13"/>
    <mergeCell ref="B12:B13"/>
    <mergeCell ref="A14:A15"/>
    <mergeCell ref="B14:B15"/>
    <mergeCell ref="A16:A17"/>
    <mergeCell ref="B16:B17"/>
    <mergeCell ref="E5:H6"/>
    <mergeCell ref="A6:B6"/>
    <mergeCell ref="A7:B7"/>
    <mergeCell ref="A8:H8"/>
    <mergeCell ref="A5:D5"/>
    <mergeCell ref="A9:A11"/>
    <mergeCell ref="B9:B11"/>
    <mergeCell ref="C9:C11"/>
    <mergeCell ref="D9:D11"/>
    <mergeCell ref="E9:H10"/>
    <mergeCell ref="A1:H2"/>
    <mergeCell ref="A3:D3"/>
    <mergeCell ref="E3:F3"/>
    <mergeCell ref="G3:H3"/>
    <mergeCell ref="A4:D4"/>
    <mergeCell ref="E4:F4"/>
    <mergeCell ref="G4:H4"/>
  </mergeCells>
  <pageMargins left="0.25" right="0.25" top="0.75" bottom="0.75" header="0.3" footer="0.3"/>
  <pageSetup paperSize="9" scale="4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3</vt:i4>
      </vt:variant>
    </vt:vector>
  </HeadingPairs>
  <TitlesOfParts>
    <vt:vector size="6" baseType="lpstr">
      <vt:lpstr>PLANILHA ORÇAMENTÁRIA</vt:lpstr>
      <vt:lpstr>MEMÓRIA DE CALCULO</vt:lpstr>
      <vt:lpstr>CRONOGRAMA</vt:lpstr>
      <vt:lpstr>CRONOGRAMA!Area_de_impressao</vt:lpstr>
      <vt:lpstr>'MEMÓRIA DE CALCULO'!Area_de_impressao</vt:lpstr>
      <vt:lpstr>'PLANILHA ORÇAMENTÁRIA'!Area_de_impressao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2025-11-26T19:30:42Z</dcterms:created>
  <dcterms:modified xsi:type="dcterms:W3CDTF">2026-05-19T13:06:30Z</dcterms:modified>
</cp:coreProperties>
</file>