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PONTE BARROCÃO - EXTENSÃO 24 METROS\02 - PLANILHA\"/>
    </mc:Choice>
  </mc:AlternateContent>
  <xr:revisionPtr revIDLastSave="0" documentId="13_ncr:1_{289D31C7-7406-4664-ABBB-ADE4A85B4255}" xr6:coauthVersionLast="47" xr6:coauthVersionMax="47" xr10:uidLastSave="{00000000-0000-0000-0000-000000000000}"/>
  <bookViews>
    <workbookView xWindow="-120" yWindow="-120" windowWidth="29040" windowHeight="15720" activeTab="1" xr2:uid="{13AC662A-A214-4B44-A2F0-444709ED0BAD}"/>
  </bookViews>
  <sheets>
    <sheet name="PLANILHA ORÇAMENTÁRIA " sheetId="4" r:id="rId1"/>
    <sheet name="MEMORIA DE CALCULO" sheetId="1" r:id="rId2"/>
    <sheet name="CRONOGRAMA " sheetId="5" r:id="rId3"/>
    <sheet name="RESUMO DE AÇO " sheetId="3" r:id="rId4"/>
    <sheet name="COMPOSIÇÃO" sheetId="6" r:id="rId5"/>
  </sheets>
  <externalReferences>
    <externalReference r:id="rId6"/>
    <externalReference r:id="rId7"/>
  </externalReferences>
  <definedNames>
    <definedName name="_xlnm.Print_Area" localSheetId="1">'MEMORIA DE CALCULO'!$A$1:$J$351</definedName>
    <definedName name="_xlnm.Print_Area" localSheetId="0">'PLANILHA ORÇAMENTÁRIA '!$A$1:$J$79</definedName>
    <definedName name="_xlnm.Print_Area" localSheetId="3">'RESUMO DE AÇO '!$B$1:$G$82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6" l="1"/>
  <c r="D29" i="5"/>
  <c r="I29" i="5" s="1"/>
  <c r="D27" i="5"/>
  <c r="D25" i="5"/>
  <c r="D23" i="5"/>
  <c r="G23" i="5" s="1"/>
  <c r="D21" i="5"/>
  <c r="G21" i="5" s="1"/>
  <c r="D19" i="5"/>
  <c r="I19" i="5" s="1"/>
  <c r="I27" i="5"/>
  <c r="D17" i="5"/>
  <c r="I17" i="5" s="1"/>
  <c r="D15" i="5"/>
  <c r="E15" i="5" s="1"/>
  <c r="D13" i="5"/>
  <c r="E13" i="5" s="1"/>
  <c r="B12" i="5"/>
  <c r="I3" i="5"/>
  <c r="G13" i="5" l="1"/>
  <c r="I13" i="5"/>
  <c r="E17" i="5"/>
  <c r="G17" i="5"/>
  <c r="E19" i="5"/>
  <c r="D31" i="5"/>
  <c r="E21" i="5"/>
  <c r="G15" i="5"/>
  <c r="I23" i="5"/>
  <c r="I15" i="5"/>
  <c r="G31" i="5"/>
  <c r="D26" i="5"/>
  <c r="I25" i="5"/>
  <c r="E31" i="5" l="1"/>
  <c r="I31" i="5"/>
  <c r="G30" i="5"/>
  <c r="I30" i="5"/>
  <c r="D20" i="5"/>
  <c r="D24" i="5"/>
  <c r="E30" i="5"/>
  <c r="D14" i="5"/>
  <c r="D16" i="5"/>
  <c r="D12" i="5"/>
  <c r="D28" i="5"/>
  <c r="D18" i="5"/>
  <c r="D22" i="5"/>
  <c r="D30" i="5" l="1"/>
  <c r="I207" i="1" l="1"/>
  <c r="D252" i="1"/>
  <c r="I67" i="4"/>
  <c r="H68" i="4"/>
  <c r="F68" i="4"/>
  <c r="I331" i="1"/>
  <c r="F66" i="4"/>
  <c r="D328" i="1"/>
  <c r="D322" i="1"/>
  <c r="I337" i="1"/>
  <c r="I338" i="1" s="1"/>
  <c r="I332" i="1"/>
  <c r="J68" i="4" l="1"/>
  <c r="I68" i="4"/>
  <c r="D47" i="1" l="1"/>
  <c r="I47" i="1" s="1"/>
  <c r="I48" i="1" s="1"/>
  <c r="F18" i="4" s="1"/>
  <c r="I18" i="4" s="1"/>
  <c r="D53" i="1"/>
  <c r="I53" i="1" s="1"/>
  <c r="I54" i="1" s="1"/>
  <c r="F19" i="4" s="1"/>
  <c r="I19" i="4" s="1"/>
  <c r="D50" i="1"/>
  <c r="D44" i="1"/>
  <c r="D23" i="1"/>
  <c r="D20" i="1"/>
  <c r="H18" i="4"/>
  <c r="H19" i="4"/>
  <c r="G58" i="3"/>
  <c r="G59" i="3"/>
  <c r="G52" i="3"/>
  <c r="G41" i="3"/>
  <c r="G42" i="3"/>
  <c r="G43" i="3"/>
  <c r="G19" i="3"/>
  <c r="G20" i="3"/>
  <c r="G12" i="3"/>
  <c r="G13" i="3"/>
  <c r="G5" i="3"/>
  <c r="G6" i="3"/>
  <c r="G7" i="3"/>
  <c r="G8" i="3"/>
  <c r="G222" i="1"/>
  <c r="I17" i="1"/>
  <c r="E252" i="1"/>
  <c r="F52" i="4"/>
  <c r="I52" i="4" s="1"/>
  <c r="I201" i="1"/>
  <c r="I199" i="1"/>
  <c r="I75" i="1"/>
  <c r="I74" i="1"/>
  <c r="H23" i="4"/>
  <c r="J19" i="4" l="1"/>
  <c r="J18" i="4"/>
  <c r="H38" i="4"/>
  <c r="D311" i="1"/>
  <c r="D305" i="1"/>
  <c r="D298" i="1"/>
  <c r="D207" i="1"/>
  <c r="D200" i="1"/>
  <c r="I200" i="1" s="1"/>
  <c r="A180" i="1"/>
  <c r="A186" i="1" s="1"/>
  <c r="D193" i="1"/>
  <c r="D192" i="1"/>
  <c r="A145" i="1"/>
  <c r="I145" i="1"/>
  <c r="I146" i="1" s="1"/>
  <c r="F36" i="4" s="1"/>
  <c r="A133" i="1"/>
  <c r="A139" i="1" s="1"/>
  <c r="I127" i="1"/>
  <c r="H13" i="4"/>
  <c r="H14" i="4"/>
  <c r="H15" i="4"/>
  <c r="H16" i="4"/>
  <c r="H17" i="4"/>
  <c r="H26" i="4"/>
  <c r="H29" i="4"/>
  <c r="H30" i="4"/>
  <c r="H31" i="4"/>
  <c r="H32" i="4"/>
  <c r="H33" i="4"/>
  <c r="H34" i="4"/>
  <c r="H35" i="4"/>
  <c r="H36" i="4"/>
  <c r="H37" i="4"/>
  <c r="H39" i="4"/>
  <c r="H42" i="4"/>
  <c r="H43" i="4"/>
  <c r="H44" i="4"/>
  <c r="H45" i="4"/>
  <c r="H46" i="4"/>
  <c r="H47" i="4"/>
  <c r="H50" i="4"/>
  <c r="H51" i="4"/>
  <c r="H52" i="4"/>
  <c r="H53" i="4"/>
  <c r="H54" i="4"/>
  <c r="H57" i="4"/>
  <c r="H58" i="4"/>
  <c r="H59" i="4"/>
  <c r="H60" i="4"/>
  <c r="H61" i="4"/>
  <c r="H62" i="4"/>
  <c r="H63" i="4"/>
  <c r="H64" i="4"/>
  <c r="H67" i="4"/>
  <c r="J67" i="4" s="1"/>
  <c r="I66" i="4"/>
  <c r="I65" i="4" s="1"/>
  <c r="H66" i="4"/>
  <c r="J66" i="4" s="1"/>
  <c r="J65" i="4" s="1"/>
  <c r="H56" i="4"/>
  <c r="H49" i="4"/>
  <c r="H41" i="4"/>
  <c r="H28" i="4"/>
  <c r="H25" i="4"/>
  <c r="H12" i="4"/>
  <c r="I2" i="4"/>
  <c r="I36" i="4" l="1"/>
  <c r="J36" i="4"/>
  <c r="J52" i="4"/>
  <c r="F58" i="3" l="1"/>
  <c r="F59" i="3"/>
  <c r="D59" i="3"/>
  <c r="D58" i="3"/>
  <c r="D57" i="3"/>
  <c r="E54" i="3"/>
  <c r="E53" i="3"/>
  <c r="G53" i="3" s="1"/>
  <c r="E52" i="3"/>
  <c r="E71" i="3"/>
  <c r="G71" i="3" s="1"/>
  <c r="E70" i="3"/>
  <c r="E69" i="3"/>
  <c r="G69" i="3" s="1"/>
  <c r="E68" i="3"/>
  <c r="G68" i="3" s="1"/>
  <c r="F67" i="3"/>
  <c r="E67" i="3"/>
  <c r="E66" i="3"/>
  <c r="G66" i="3" s="1"/>
  <c r="E65" i="3"/>
  <c r="G65" i="3" s="1"/>
  <c r="E64" i="3"/>
  <c r="G64" i="3" s="1"/>
  <c r="G70" i="3"/>
  <c r="D76" i="3" s="1"/>
  <c r="C74" i="3"/>
  <c r="C57" i="3"/>
  <c r="F42" i="3"/>
  <c r="E43" i="3"/>
  <c r="E42" i="3"/>
  <c r="E41" i="3"/>
  <c r="E40" i="3"/>
  <c r="G40" i="3" s="1"/>
  <c r="D46" i="3" s="1"/>
  <c r="C46" i="3"/>
  <c r="F31" i="3"/>
  <c r="G31" i="3" s="1"/>
  <c r="E31" i="3"/>
  <c r="F30" i="3"/>
  <c r="G30" i="3" s="1"/>
  <c r="E30" i="3"/>
  <c r="F29" i="3"/>
  <c r="G29" i="3" s="1"/>
  <c r="D34" i="3" s="1"/>
  <c r="C34" i="3"/>
  <c r="E29" i="3"/>
  <c r="F20" i="3"/>
  <c r="E20" i="3"/>
  <c r="F19" i="3"/>
  <c r="E19" i="3"/>
  <c r="F18" i="3"/>
  <c r="G18" i="3" s="1"/>
  <c r="D23" i="3" s="1"/>
  <c r="E18" i="3"/>
  <c r="C23" i="3"/>
  <c r="E8" i="3"/>
  <c r="E7" i="3"/>
  <c r="E6" i="3"/>
  <c r="D12" i="3" s="1"/>
  <c r="E5" i="3"/>
  <c r="E4" i="3"/>
  <c r="G4" i="3" s="1"/>
  <c r="D11" i="3" s="1" a="1"/>
  <c r="D11" i="3" s="1"/>
  <c r="C11" i="3"/>
  <c r="D74" i="3" l="1" a="1"/>
  <c r="D74" i="3" s="1"/>
  <c r="G74" i="3" s="1"/>
  <c r="G76" i="3"/>
  <c r="F76" i="3"/>
  <c r="D13" i="3" a="1"/>
  <c r="D13" i="3" s="1"/>
  <c r="F13" i="3" s="1"/>
  <c r="G67" i="3"/>
  <c r="D75" i="3" s="1" a="1"/>
  <c r="D75" i="3" s="1"/>
  <c r="D47" i="3" a="1"/>
  <c r="D47" i="3" s="1"/>
  <c r="G47" i="3" s="1"/>
  <c r="D304" i="1" s="1"/>
  <c r="G54" i="3"/>
  <c r="G57" i="3"/>
  <c r="F57" i="3"/>
  <c r="G46" i="3"/>
  <c r="F46" i="3"/>
  <c r="D35" i="3" a="1"/>
  <c r="D35" i="3" s="1"/>
  <c r="G35" i="3" s="1"/>
  <c r="F34" i="3"/>
  <c r="F12" i="3"/>
  <c r="F11" i="3"/>
  <c r="G11" i="3"/>
  <c r="D292" i="1" l="1"/>
  <c r="G60" i="3"/>
  <c r="F74" i="3"/>
  <c r="G14" i="3"/>
  <c r="G75" i="3"/>
  <c r="G77" i="3" s="1"/>
  <c r="F75" i="3"/>
  <c r="F47" i="3"/>
  <c r="G48" i="3"/>
  <c r="G34" i="3"/>
  <c r="G36" i="3" s="1"/>
  <c r="F35" i="3"/>
  <c r="D24" i="3" a="1"/>
  <c r="D24" i="3" s="1"/>
  <c r="F24" i="3" s="1"/>
  <c r="F23" i="3"/>
  <c r="G23" i="3" l="1"/>
  <c r="G24" i="3"/>
  <c r="G25" i="3" l="1"/>
  <c r="G318" i="1" l="1"/>
  <c r="I318" i="1" s="1"/>
  <c r="I317" i="1"/>
  <c r="I266" i="1"/>
  <c r="I240" i="1"/>
  <c r="F237" i="1"/>
  <c r="I237" i="1" s="1"/>
  <c r="F238" i="1"/>
  <c r="I238" i="1" s="1"/>
  <c r="A238" i="1"/>
  <c r="A239" i="1"/>
  <c r="A240" i="1"/>
  <c r="A237" i="1"/>
  <c r="M214" i="1"/>
  <c r="H215" i="1"/>
  <c r="I215" i="1" s="1"/>
  <c r="I214" i="1"/>
  <c r="I213" i="1"/>
  <c r="A214" i="1"/>
  <c r="A213" i="1"/>
  <c r="I160" i="1"/>
  <c r="D161" i="1"/>
  <c r="D153" i="1"/>
  <c r="D152" i="1"/>
  <c r="I152" i="1" s="1"/>
  <c r="G111" i="1"/>
  <c r="G119" i="1" s="1"/>
  <c r="G112" i="1"/>
  <c r="G120" i="1" s="1"/>
  <c r="A111" i="1"/>
  <c r="A119" i="1" s="1"/>
  <c r="A152" i="1" s="1"/>
  <c r="A160" i="1" s="1"/>
  <c r="A110" i="1"/>
  <c r="D98" i="1"/>
  <c r="E97" i="1"/>
  <c r="E111" i="1" s="1"/>
  <c r="E119" i="1" s="1"/>
  <c r="D97" i="1"/>
  <c r="E96" i="1"/>
  <c r="D96" i="1"/>
  <c r="D90" i="1"/>
  <c r="I90" i="1" s="1"/>
  <c r="D89" i="1"/>
  <c r="I89" i="1" s="1"/>
  <c r="D88" i="1"/>
  <c r="I202" i="1" l="1"/>
  <c r="F45" i="4" s="1"/>
  <c r="I97" i="1"/>
  <c r="D111" i="1"/>
  <c r="J45" i="4" l="1"/>
  <c r="I45" i="4"/>
  <c r="I111" i="1"/>
  <c r="D119" i="1"/>
  <c r="I119" i="1" s="1"/>
  <c r="G81" i="1"/>
  <c r="I76" i="1" l="1"/>
  <c r="H81" i="1" s="1"/>
  <c r="I81" i="1" s="1"/>
  <c r="F25" i="4" l="1"/>
  <c r="I25" i="4" s="1"/>
  <c r="I82" i="1"/>
  <c r="F26" i="4" s="1"/>
  <c r="I267" i="1"/>
  <c r="I193" i="1"/>
  <c r="I174" i="1"/>
  <c r="J25" i="4" l="1"/>
  <c r="I26" i="4"/>
  <c r="J26" i="4"/>
  <c r="H153" i="1"/>
  <c r="I153" i="1" s="1"/>
  <c r="G110" i="1"/>
  <c r="G118" i="1" s="1"/>
  <c r="H151" i="1" s="1"/>
  <c r="I151" i="1" s="1"/>
  <c r="E98" i="1"/>
  <c r="E110" i="1"/>
  <c r="E118" i="1" s="1"/>
  <c r="D110" i="1"/>
  <c r="D118" i="1" s="1"/>
  <c r="I88" i="1"/>
  <c r="I311" i="1"/>
  <c r="I312" i="1" s="1"/>
  <c r="F63" i="4" s="1"/>
  <c r="I63" i="4" s="1"/>
  <c r="A311" i="1"/>
  <c r="I325" i="1"/>
  <c r="I305" i="1"/>
  <c r="I304" i="1"/>
  <c r="I298" i="1"/>
  <c r="I299" i="1" s="1"/>
  <c r="F61" i="4" s="1"/>
  <c r="I61" i="4" s="1"/>
  <c r="I292" i="1"/>
  <c r="I293" i="1" s="1"/>
  <c r="F60" i="4" s="1"/>
  <c r="I60" i="4" s="1"/>
  <c r="I286" i="1"/>
  <c r="I287" i="1" s="1"/>
  <c r="F59" i="4" s="1"/>
  <c r="I59" i="4" s="1"/>
  <c r="A318" i="1"/>
  <c r="A304" i="1"/>
  <c r="A317" i="1" s="1"/>
  <c r="I280" i="1"/>
  <c r="I281" i="1" s="1"/>
  <c r="F58" i="4" s="1"/>
  <c r="I58" i="4" s="1"/>
  <c r="I274" i="1"/>
  <c r="I265" i="1"/>
  <c r="I273" i="1"/>
  <c r="I258" i="1"/>
  <c r="I259" i="1" s="1"/>
  <c r="F54" i="4" s="1"/>
  <c r="I54" i="4" s="1"/>
  <c r="I246" i="1"/>
  <c r="I231" i="1"/>
  <c r="I232" i="1" s="1"/>
  <c r="F50" i="4" s="1"/>
  <c r="I50" i="4" s="1"/>
  <c r="I223" i="1"/>
  <c r="I225" i="1"/>
  <c r="G252" i="1" s="1"/>
  <c r="I222" i="1"/>
  <c r="I264" i="1"/>
  <c r="D224" i="1"/>
  <c r="I224" i="1" s="1"/>
  <c r="I192" i="1"/>
  <c r="I186" i="1"/>
  <c r="I180" i="1"/>
  <c r="I139" i="1"/>
  <c r="I133" i="1"/>
  <c r="I126" i="1"/>
  <c r="I128" i="1" s="1"/>
  <c r="F33" i="4" s="1"/>
  <c r="A112" i="1"/>
  <c r="A118" i="1"/>
  <c r="A151" i="1" s="1"/>
  <c r="A159" i="1" s="1"/>
  <c r="I41" i="1"/>
  <c r="I42" i="1" s="1"/>
  <c r="F17" i="4" s="1"/>
  <c r="I35" i="1"/>
  <c r="I36" i="1" s="1"/>
  <c r="F16" i="4" s="1"/>
  <c r="I23" i="1"/>
  <c r="I24" i="1" s="1"/>
  <c r="F14" i="4" s="1"/>
  <c r="I29" i="1"/>
  <c r="I30" i="1" s="1"/>
  <c r="F15" i="4" s="1"/>
  <c r="I18" i="1"/>
  <c r="F13" i="4" s="1"/>
  <c r="D234" i="1"/>
  <c r="D164" i="1"/>
  <c r="I158" i="1"/>
  <c r="D115" i="1"/>
  <c r="I104" i="1"/>
  <c r="I105" i="1" s="1"/>
  <c r="I103" i="1"/>
  <c r="I67" i="1"/>
  <c r="I68" i="1" s="1"/>
  <c r="F23" i="4" s="1"/>
  <c r="D64" i="1"/>
  <c r="I60" i="1"/>
  <c r="I61" i="1" s="1"/>
  <c r="D57" i="1"/>
  <c r="I11" i="1"/>
  <c r="I12" i="1" s="1"/>
  <c r="F12" i="4" s="1"/>
  <c r="I33" i="4" l="1"/>
  <c r="J33" i="4"/>
  <c r="F239" i="1"/>
  <c r="I239" i="1" s="1"/>
  <c r="I241" i="1" s="1"/>
  <c r="F51" i="4" s="1"/>
  <c r="I51" i="4" s="1"/>
  <c r="F252" i="1"/>
  <c r="I252" i="1" s="1"/>
  <c r="I253" i="1" s="1"/>
  <c r="F53" i="4" s="1"/>
  <c r="I53" i="4" s="1"/>
  <c r="J60" i="4"/>
  <c r="J61" i="4"/>
  <c r="J63" i="4"/>
  <c r="I23" i="4"/>
  <c r="I22" i="4" s="1"/>
  <c r="J23" i="4"/>
  <c r="J22" i="4" s="1"/>
  <c r="J59" i="4"/>
  <c r="F29" i="4"/>
  <c r="F30" i="4"/>
  <c r="J50" i="4"/>
  <c r="I12" i="4"/>
  <c r="J12" i="4"/>
  <c r="J54" i="4"/>
  <c r="I15" i="4"/>
  <c r="J15" i="4"/>
  <c r="I14" i="4"/>
  <c r="J14" i="4"/>
  <c r="I13" i="4"/>
  <c r="J13" i="4"/>
  <c r="I16" i="4"/>
  <c r="J16" i="4"/>
  <c r="I17" i="4"/>
  <c r="J17" i="4"/>
  <c r="J58" i="4"/>
  <c r="H161" i="1"/>
  <c r="A120" i="1"/>
  <c r="E112" i="1"/>
  <c r="E120" i="1" s="1"/>
  <c r="I98" i="1"/>
  <c r="I326" i="1"/>
  <c r="I175" i="1"/>
  <c r="F41" i="4" s="1"/>
  <c r="H159" i="1"/>
  <c r="I159" i="1" s="1"/>
  <c r="D112" i="1"/>
  <c r="D120" i="1" s="1"/>
  <c r="I118" i="1"/>
  <c r="I110" i="1"/>
  <c r="I96" i="1"/>
  <c r="I275" i="1"/>
  <c r="F57" i="4" s="1"/>
  <c r="I57" i="4" s="1"/>
  <c r="I306" i="1"/>
  <c r="F62" i="4" s="1"/>
  <c r="I62" i="4" s="1"/>
  <c r="I319" i="1"/>
  <c r="F64" i="4" s="1"/>
  <c r="I64" i="4" s="1"/>
  <c r="I181" i="1"/>
  <c r="F42" i="4" s="1"/>
  <c r="I91" i="1"/>
  <c r="F28" i="4" s="1"/>
  <c r="I134" i="1"/>
  <c r="F34" i="4" s="1"/>
  <c r="I268" i="1"/>
  <c r="F56" i="4" s="1"/>
  <c r="I187" i="1"/>
  <c r="F43" i="4" s="1"/>
  <c r="I226" i="1"/>
  <c r="F49" i="4" s="1"/>
  <c r="I140" i="1"/>
  <c r="F35" i="4" s="1"/>
  <c r="I194" i="1"/>
  <c r="F44" i="4" s="1"/>
  <c r="I208" i="1"/>
  <c r="F46" i="4" s="1"/>
  <c r="I35" i="4" l="1"/>
  <c r="J35" i="4"/>
  <c r="I30" i="4"/>
  <c r="J30" i="4"/>
  <c r="J44" i="4"/>
  <c r="I44" i="4"/>
  <c r="J46" i="4"/>
  <c r="I46" i="4"/>
  <c r="I29" i="4"/>
  <c r="J29" i="4"/>
  <c r="I34" i="4"/>
  <c r="J34" i="4"/>
  <c r="J42" i="4"/>
  <c r="I42" i="4"/>
  <c r="J43" i="4"/>
  <c r="I43" i="4"/>
  <c r="I41" i="4"/>
  <c r="J41" i="4"/>
  <c r="J11" i="4"/>
  <c r="I11" i="4"/>
  <c r="J51" i="4"/>
  <c r="J62" i="4"/>
  <c r="I120" i="1"/>
  <c r="I121" i="1" s="1"/>
  <c r="I49" i="4"/>
  <c r="J49" i="4"/>
  <c r="I56" i="4"/>
  <c r="J56" i="4"/>
  <c r="J53" i="4"/>
  <c r="I28" i="4"/>
  <c r="J28" i="4"/>
  <c r="J64" i="4"/>
  <c r="J57" i="4"/>
  <c r="K221" i="1"/>
  <c r="I161" i="1"/>
  <c r="I162" i="1" s="1"/>
  <c r="F38" i="4" s="1"/>
  <c r="A153" i="1"/>
  <c r="I112" i="1"/>
  <c r="I113" i="1" s="1"/>
  <c r="F31" i="4" s="1"/>
  <c r="I99" i="1"/>
  <c r="D167" i="1" s="1"/>
  <c r="I154" i="1"/>
  <c r="F37" i="4" s="1"/>
  <c r="K215" i="1"/>
  <c r="I216" i="1"/>
  <c r="F47" i="4" s="1"/>
  <c r="I31" i="4" l="1"/>
  <c r="J31" i="4"/>
  <c r="I38" i="4"/>
  <c r="J38" i="4"/>
  <c r="I47" i="4"/>
  <c r="I40" i="4" s="1"/>
  <c r="J47" i="4"/>
  <c r="J40" i="4" s="1"/>
  <c r="I37" i="4"/>
  <c r="J37" i="4"/>
  <c r="I55" i="4"/>
  <c r="I48" i="4"/>
  <c r="F167" i="1"/>
  <c r="J48" i="4"/>
  <c r="I24" i="4"/>
  <c r="J24" i="4"/>
  <c r="E167" i="1"/>
  <c r="F32" i="4"/>
  <c r="J55" i="4"/>
  <c r="A161" i="1"/>
  <c r="I32" i="4" l="1"/>
  <c r="J32" i="4"/>
  <c r="I167" i="1"/>
  <c r="I168" i="1" s="1"/>
  <c r="F39" i="4" s="1"/>
  <c r="J39" i="4" l="1"/>
  <c r="J27" i="4" s="1"/>
  <c r="I39" i="4"/>
  <c r="I27" i="4" s="1"/>
  <c r="L12" i="4" l="1"/>
  <c r="L13" i="4" s="1"/>
  <c r="G21" i="4" s="1"/>
  <c r="I21" i="4" l="1"/>
  <c r="I20" i="4" s="1"/>
  <c r="I10" i="4" s="1"/>
  <c r="J70" i="4" s="1"/>
  <c r="H21" i="4"/>
  <c r="J21" i="4" s="1"/>
  <c r="J20" i="4" s="1"/>
  <c r="J10" i="4" s="1"/>
  <c r="J71" i="4" s="1"/>
  <c r="L71" i="4" s="1"/>
  <c r="L75" i="4" s="1"/>
  <c r="J69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<sst xmlns="http://schemas.openxmlformats.org/spreadsheetml/2006/main" count="1169" uniqueCount="382">
  <si>
    <t>MEMORIA DE CÁLCULO</t>
  </si>
  <si>
    <t>OBJETO:</t>
  </si>
  <si>
    <t>LOCAL:</t>
  </si>
  <si>
    <t xml:space="preserve">SERVIÇOS PRELIMINARES </t>
  </si>
  <si>
    <t>DESCRIÇÃO:</t>
  </si>
  <si>
    <t>1.1</t>
  </si>
  <si>
    <t>CÓDIGO:</t>
  </si>
  <si>
    <t>DESCRIÇÃO</t>
  </si>
  <si>
    <t>Comp. (m)</t>
  </si>
  <si>
    <t>Larg. (m)</t>
  </si>
  <si>
    <t>Repet.</t>
  </si>
  <si>
    <t>Área (m²)</t>
  </si>
  <si>
    <t>TOTAL</t>
  </si>
  <si>
    <t>1.2</t>
  </si>
  <si>
    <t>1.3</t>
  </si>
  <si>
    <t>1.4</t>
  </si>
  <si>
    <t xml:space="preserve">MOBILIZAÇÃO E DESMOLIZAÇÃO DE OBRA </t>
  </si>
  <si>
    <t>%</t>
  </si>
  <si>
    <t>ADMINISTRAÇÃO LOCAL</t>
  </si>
  <si>
    <t>VB</t>
  </si>
  <si>
    <t>MOVIMENTO DE TERRA</t>
  </si>
  <si>
    <t xml:space="preserve">Comp. </t>
  </si>
  <si>
    <t xml:space="preserve">Larg. </t>
  </si>
  <si>
    <t>Alt.(m)</t>
  </si>
  <si>
    <t xml:space="preserve">Repet. </t>
  </si>
  <si>
    <t>Volume(m³)</t>
  </si>
  <si>
    <t>Volume Total (m³)</t>
  </si>
  <si>
    <t xml:space="preserve">Comp. (m) </t>
  </si>
  <si>
    <t xml:space="preserve">Larg. (m) </t>
  </si>
  <si>
    <t>Área Total (m²)</t>
  </si>
  <si>
    <t>INFRAESTRUTURA (  BLOCOS E ESTACAS)</t>
  </si>
  <si>
    <t>1.5</t>
  </si>
  <si>
    <t>Comprimento Total (m)</t>
  </si>
  <si>
    <t>Comp. (m) +0,10 para cada lado</t>
  </si>
  <si>
    <t>Larg. (m) +0,10 para cada lado</t>
  </si>
  <si>
    <t>Alt.(m)+ 0,05 do lastro</t>
  </si>
  <si>
    <t>Volume Total (m)</t>
  </si>
  <si>
    <t xml:space="preserve">Alt.  (m) </t>
  </si>
  <si>
    <t>Peso (kg)</t>
  </si>
  <si>
    <t>Peso Total (Kg)</t>
  </si>
  <si>
    <t>Vol. Escavado (m³)</t>
  </si>
  <si>
    <t>Vol. Lastro (m³)</t>
  </si>
  <si>
    <t>Vol. Concreto (m³)</t>
  </si>
  <si>
    <t>MESOESTRUTURA (CORTINAS E PILARES)</t>
  </si>
  <si>
    <t>PILARES</t>
  </si>
  <si>
    <t xml:space="preserve">CORTINAS </t>
  </si>
  <si>
    <t>Volume (m³)</t>
  </si>
  <si>
    <t>PERFIL METÁLICO</t>
  </si>
  <si>
    <t>Peso kg/m</t>
  </si>
  <si>
    <t>Total (KG)</t>
  </si>
  <si>
    <t>((0,617*0,23/2)*0,00436)</t>
  </si>
  <si>
    <t>1 um = 1 caminhão para transporte</t>
  </si>
  <si>
    <t>Peso (T)</t>
  </si>
  <si>
    <t>Distancia (DMT)</t>
  </si>
  <si>
    <t>Longarinas (kg)</t>
  </si>
  <si>
    <t>Transversinas (kg)</t>
  </si>
  <si>
    <t>Ch. Ligação  (kg)</t>
  </si>
  <si>
    <t>Conectores (kg)</t>
  </si>
  <si>
    <t>SUPERESTRUTURA (GUARDA-RODAS E LAJE)</t>
  </si>
  <si>
    <t xml:space="preserve">Larg.  (m) </t>
  </si>
  <si>
    <t>TUBO 53MM</t>
  </si>
  <si>
    <t>10 unidades, conforme projeto</t>
  </si>
  <si>
    <t>Comp. (DM)</t>
  </si>
  <si>
    <t>Larg.(DM)</t>
  </si>
  <si>
    <t>Alt.(DM)</t>
  </si>
  <si>
    <t>Altura(m)</t>
  </si>
  <si>
    <t xml:space="preserve">SERVIÇOS COMPLEMENTARES </t>
  </si>
  <si>
    <t xml:space="preserve">	FORNECIMENTO E INSTALAÇÃO DE PLACA DE OBRA COM CHAPA GALVANIZADA E ESTRUTURA DE MADEIRA. AF_03/2022_PS</t>
  </si>
  <si>
    <t>BARRACÃO DE OBRA PARA DEPÓSITO E FERRAMENTARIA TIPO-I, ÁREA INTERNA 14,52M2, EM CHAPA DE COMPENSADO RESINADO, INCLUSIVE MOBILIÁRIO (OBRA DE PEQUENO PORTE, EFETIVO ATÉ 30 HOMENS), PADRÃO DER-MG</t>
  </si>
  <si>
    <t>SONDAGEM A PERCUSSÃO COM ENSAIO DE PENETRAÇÃO PADRÃO (SPT), DIÂMETRO 2.1/2", EXCLUSIVE MOBILIZAÇÃO E DESMOBILIZAÇÃO</t>
  </si>
  <si>
    <t>MOBILIZAÇÃO E DESMOBILIZAÇÃO DE EQUIPAMENTO DE SONDAGEM A PERCUSSÃO COM ENSAIO DE PENETRAÇÃO PADRÃO (SPT), INCLUSIVE CUSTO FIXO E VARIÁVEL</t>
  </si>
  <si>
    <t>DESMATAMENTO, DESTOCAMENTO E LIMPEZA, INCLUSIVE TRANSPORTE ATÉ CINQUENTA (50) METROS</t>
  </si>
  <si>
    <t>1.6</t>
  </si>
  <si>
    <t>Unidade</t>
  </si>
  <si>
    <t>Quantidade (UNID.)</t>
  </si>
  <si>
    <t>Nº de Furos</t>
  </si>
  <si>
    <t xml:space="preserve">Comprimento Total (m) </t>
  </si>
  <si>
    <t>Porcentagem (%)</t>
  </si>
  <si>
    <t>OBSERVAÇÕES: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</si>
  <si>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</si>
  <si>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>REATERRO MECANIZADO DE VALA COM MINICARREGADEIRA, COM COMPACTADOR DE SOLOS DE PERCUSSÃO. AF_08/2023</t>
  </si>
  <si>
    <t>1.1.1</t>
  </si>
  <si>
    <t>1.1.2</t>
  </si>
  <si>
    <t>1.1.3</t>
  </si>
  <si>
    <t>1.1.4</t>
  </si>
  <si>
    <t>1.1.5</t>
  </si>
  <si>
    <t>1.1.6</t>
  </si>
  <si>
    <t>1.4.1</t>
  </si>
  <si>
    <t>1.2.1</t>
  </si>
  <si>
    <t>1.3.1</t>
  </si>
  <si>
    <t>LOCAÇÃO CONVENCIONAL DE OBRA, UTILIZANDO GABARITO DE TÁBUAS CORRIDAS PONTALETADAS A CADA 1,50M - 2 UTILIZAÇÕES. AF_03/2024</t>
  </si>
  <si>
    <t>ESCAVAÇÃO MANUAL DE VALA. AF_09/2024</t>
  </si>
  <si>
    <t>ESTACA BROCA DE CONCRETO, DIÂMETRO DE 30CM, ESCAVAÇÃO MANUAL COM TRADO CONCHA, INTEIRAMENTE ARMADA. AF_05/2020</t>
  </si>
  <si>
    <t>PREPARO DE FUNDO DE VALA COM LARGURA MENOR QUE 1,5 M (ACERTO DO SOLO NATURAL). AF_08/2020</t>
  </si>
  <si>
    <t>CORTE E DOBRA DE AÇO CA-50, DIÂMETRO DE 6,3 MM. AF_06/2022</t>
  </si>
  <si>
    <t>CORTE E DOBRA DE AÇO CA-50, DIÂMETRO DE 8,0 MM. AF_06/2022</t>
  </si>
  <si>
    <t>CORTE E DOBRA DE AÇO CA-50, DIÂMETRO DE 10,0 MM. AF_06/2022</t>
  </si>
  <si>
    <t>CORTE E DOBRA DE AÇO CA-50, DIÂMETRO DE 12,5 MM. AF_06/2022</t>
  </si>
  <si>
    <t>CORTE E DOBRA DE AÇO CA-50, DIÂMETRO DE 16,0 MM. AF_06/2022</t>
  </si>
  <si>
    <t>FABRICAÇÃO, MONTAGEM E DESMONTAGEM DE FÔRMA PARA BLOCO DE COROAMENTO, EM MADEIRA SERRADA, E=25 MM, 4 UTILIZAÇÕES. AF_01/2024</t>
  </si>
  <si>
    <t>CONCRETO FCK = 30MPA, TRAÇO 1:2,1:2,5 (EM MASSA SECA DE CIMENTO/ AREIA MÉDIA/ BRITA 1) - PREPARO MECÂNICO COM BETONEIRA 600 L. AF_05/2021</t>
  </si>
  <si>
    <t>FABRICAÇÃO DE FÔRMA PARA PILARES E ESTRUTURAS SIMILARES, EM MADEIRA SERRADA, E=25 MM. AF_09/2020</t>
  </si>
  <si>
    <t>FABRICAÇÃO, MONTAGEM E DESMONTAGEM DE FÔRMA PARA CORTINA DE CONTENÇÃO, EM CHAPA DE MADEIRA COMPENSADA PLASTIFICADA, E = 18 MM, 10 UTILIZAÇÕES. AF_11/2024</t>
  </si>
  <si>
    <t>CORTINAS</t>
  </si>
  <si>
    <t>LOCAÇÃO DOS BLOCOS</t>
  </si>
  <si>
    <t>LOCACÃO SAPATA CORRIDA ALA DE CONTENÇÃO</t>
  </si>
  <si>
    <t>SAPATA DE APOIO (ALA DE CONTENÇÃO)</t>
  </si>
  <si>
    <t xml:space="preserve">BLOCOS </t>
  </si>
  <si>
    <t>Chapa de Ligação Longarinas e Transversinas)</t>
  </si>
  <si>
    <t>Conectores Longarians - U102x8,0</t>
  </si>
  <si>
    <t>FORNECIMENTO DE ESTRUTURA METÁLICA EM PERFIL SOLDADO PARA PONTES, EM AÇO PATINÁVEL, INCLUSIVE FABRICAÇÃO, EXCLUSIVE TRANSPORTE E LANÇAMENTO</t>
  </si>
  <si>
    <t>Aparelho de apoio de neoprene fretado para estruturas moldadas no local - fornecimento e instalação</t>
  </si>
  <si>
    <t>LANÇAMENTO DE VIGA PARA PONTE, EXCLUSIVE FORNECIMENTO, DESCARGA E TRANSPORTE - PROJETO PADRÃO SEINFRA-MG</t>
  </si>
  <si>
    <t>TRANSPORTE DE VIGA OU TABULEIRO PARA PONTE (CUSTO VARIÁVEL), EXCLUSIVE FORNECIMENTO , DESCARGA E CUSTO FIXO DE TRANSPORTE</t>
  </si>
  <si>
    <t>Unidade (Unid.)</t>
  </si>
  <si>
    <t>Quantidade (Unid.)</t>
  </si>
  <si>
    <t>Transporte TxKM</t>
  </si>
  <si>
    <t>Volume (Dm³)</t>
  </si>
  <si>
    <t>DESCARGA DE CAMINHÃO, PARA ELEMENTOS DE VIGA OU TABULEIRO PARA PONTE, INCLUSIVE DESCARGA DE PERFIS LONGARINAS, TRANSVERSINAS, CHAPAS E ACESSÓRIOS, EXCLUSIVE FORNECIMENTO E TRANSPORTE</t>
  </si>
  <si>
    <t>1.7</t>
  </si>
  <si>
    <t>1.7.1</t>
  </si>
  <si>
    <t>1.7.2</t>
  </si>
  <si>
    <t>1.7.3</t>
  </si>
  <si>
    <t>1.7.4</t>
  </si>
  <si>
    <t>1.7.5</t>
  </si>
  <si>
    <t>1.7.6</t>
  </si>
  <si>
    <t>MONTAGEM E DESMONTAGEM DE FÔRMA DE LAJE MACIÇA, PÉ-DIREITO SIMPLES, EM CHAPA DE MADEIRA COMPENSADA PLASTIFICADA, 18 UTILIZAÇÕES. AF_09/2020</t>
  </si>
  <si>
    <t>FÔRMA E DESFORMA DE TÁBUA E SARRAFO, REAPROVEITAMENTO (3X), EXCLUSIVE ESCORAMENTO</t>
  </si>
  <si>
    <t>FORNECIMENTO E ASSENTAMENTO DE TUBO PVC RÍGIDO, DRENAGEM/PLUVIAL, PBV - SÉRIE NORMAL, DN 75 MM (3"), INCLUSIVE CONEXÕES</t>
  </si>
  <si>
    <t>ESCORAMENTO DE FÔRMAS DE LAJE EM MADEIRA NÃO APARELHADA, PÉ-DIREITO SIMPLES, INCLUSO TRAVAMENTO, 4 UTILIZAÇÕES. AF_09/2020</t>
  </si>
  <si>
    <t xml:space="preserve">CORTE E DOBRA DE AÇO CA-50, DIÂMETRO DE 6,3 MM. AF_06/2022 </t>
  </si>
  <si>
    <t>1.8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</si>
  <si>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</si>
  <si>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</si>
  <si>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</si>
  <si>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</si>
  <si>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</si>
  <si>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</si>
  <si>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</si>
  <si>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</si>
  <si>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</si>
  <si>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GUARDA CORPO (FRENTE E FUNDO)</t>
  </si>
  <si>
    <t>GUARDA CORPO (LATERAIS)</t>
  </si>
  <si>
    <t>Nº de Lados</t>
  </si>
  <si>
    <t>LAJE</t>
  </si>
  <si>
    <t>GUARDA-RODAS</t>
  </si>
  <si>
    <t xml:space="preserve">PLACA IDENTIFICAÇÃO PONTE </t>
  </si>
  <si>
    <t>Área (m³)</t>
  </si>
  <si>
    <t>1.9</t>
  </si>
  <si>
    <t>1.9.1</t>
  </si>
  <si>
    <t>Transversina 250x22,3</t>
  </si>
  <si>
    <t>1.5.1</t>
  </si>
  <si>
    <t>1.5.2</t>
  </si>
  <si>
    <t>1.5.3</t>
  </si>
  <si>
    <t>1.5.4</t>
  </si>
  <si>
    <t>1.5.5</t>
  </si>
  <si>
    <t>1.5.7</t>
  </si>
  <si>
    <t>1.5.9</t>
  </si>
  <si>
    <t>1.5.10</t>
  </si>
  <si>
    <t>1.5.11</t>
  </si>
  <si>
    <t>1.5.12</t>
  </si>
  <si>
    <t>1.6.1</t>
  </si>
  <si>
    <t>1.6.2</t>
  </si>
  <si>
    <t>1.6.3</t>
  </si>
  <si>
    <t>1.6.4</t>
  </si>
  <si>
    <t>1.6.5</t>
  </si>
  <si>
    <t>1.6.6</t>
  </si>
  <si>
    <t>1.6.7</t>
  </si>
  <si>
    <t>RETIRADA DO EBERICK</t>
  </si>
  <si>
    <t>FORNECIMENTO DE CONCRETO ESTRUTURAL, USINADO BOMBEADO, AUTO-ADENSÁVEL, COM FCK 30MPA, INCLUSIVE LANÇAMENTO E ACABAMENTO</t>
  </si>
  <si>
    <t>DATA:</t>
  </si>
  <si>
    <t xml:space="preserve">FORMA DE EXECUÇÃO: </t>
  </si>
  <si>
    <t>ESCAVAÇÃO CORTE LADO ESQUERDO</t>
  </si>
  <si>
    <t>ESCAVAÇÃO ATERRO LADO DIREITO</t>
  </si>
  <si>
    <t>1.4.2</t>
  </si>
  <si>
    <t>PLACA DE SINALIZAÇÃO EM AÇO, COM ESTRUTURA DE FIXAÇÃO EM MADEIRA</t>
  </si>
  <si>
    <t xml:space="preserve">KÁREN MARIANA SOARES VIEIRA </t>
  </si>
  <si>
    <t>ENGENHEIRA CIVIL 332.425/D-MG</t>
  </si>
  <si>
    <t>60x60</t>
  </si>
  <si>
    <t>480x220</t>
  </si>
  <si>
    <t>4,17*4+4,8*2+0,4*2</t>
  </si>
  <si>
    <t>BLOCO 60X60CM</t>
  </si>
  <si>
    <t xml:space="preserve">BLOCO 480X220CM </t>
  </si>
  <si>
    <t>4,17+4,17</t>
  </si>
  <si>
    <t>4,8+4,8+2,2+2,2</t>
  </si>
  <si>
    <t>(0,4+4,17+4,17)*2</t>
  </si>
  <si>
    <t>PILARES 40X40X500</t>
  </si>
  <si>
    <t>PILARES 100X100X467</t>
  </si>
  <si>
    <t>PILARES 122X122/467</t>
  </si>
  <si>
    <t>CORTINAS / PILAR 40X40X500</t>
  </si>
  <si>
    <t>Longarina W610x140</t>
  </si>
  <si>
    <t>LAJE 24M - FUNDO</t>
  </si>
  <si>
    <t xml:space="preserve">LAJE 24M LATERAIS </t>
  </si>
  <si>
    <t xml:space="preserve">LAJE 24 M - LATERAIS </t>
  </si>
  <si>
    <t>,</t>
  </si>
  <si>
    <t>AÇO</t>
  </si>
  <si>
    <t>N</t>
  </si>
  <si>
    <t>DIAM (MM)</t>
  </si>
  <si>
    <t>QUANT</t>
  </si>
  <si>
    <t>C.UNIT (CM)</t>
  </si>
  <si>
    <t>C. TOTAL (CM)</t>
  </si>
  <si>
    <t>CA-50</t>
  </si>
  <si>
    <t>16.0</t>
  </si>
  <si>
    <t>6.3</t>
  </si>
  <si>
    <t>C. TOTAL (M)</t>
  </si>
  <si>
    <t>PESO (KG)</t>
  </si>
  <si>
    <t>QUANT. + 10% (Barras)</t>
  </si>
  <si>
    <t>PESO  +  10% (KG)</t>
  </si>
  <si>
    <t xml:space="preserve">TOTAL </t>
  </si>
  <si>
    <t xml:space="preserve">RELAÇÃO DE AÇO BLOCOS DE COROAMENTO </t>
  </si>
  <si>
    <t xml:space="preserve">RESUMO DE AÇO BLOCOS DE COROAMENTO </t>
  </si>
  <si>
    <t>10.0</t>
  </si>
  <si>
    <t>12.5</t>
  </si>
  <si>
    <t xml:space="preserve">RELAÇÃO DE AÇO PILAR DE ARRANQUE </t>
  </si>
  <si>
    <t xml:space="preserve">RESUMO DE AÇO  PILAR DE ARRANQUE </t>
  </si>
  <si>
    <t>RELAÇÃO DE AÇO PILAR SUPERIORES</t>
  </si>
  <si>
    <t>RELAÇÃO DE AÇO LAJE</t>
  </si>
  <si>
    <t>8.0</t>
  </si>
  <si>
    <t>RELAÇÃO DE AÇO GUARDA-CORPO</t>
  </si>
  <si>
    <t>RELAÇÃO DE AÇO CORTINA</t>
  </si>
  <si>
    <t>Nº de lados</t>
  </si>
  <si>
    <t>ITEM</t>
  </si>
  <si>
    <t>CÓDIGO</t>
  </si>
  <si>
    <t>FONTE</t>
  </si>
  <si>
    <t>UNID</t>
  </si>
  <si>
    <t>QUANTIDADE</t>
  </si>
  <si>
    <t>PREÇO UNITÁRIO R$</t>
  </si>
  <si>
    <t>PREÇO TOTAL R$</t>
  </si>
  <si>
    <t>SEM BDI</t>
  </si>
  <si>
    <t>COM BDI</t>
  </si>
  <si>
    <t>SERVIÇOS PRELIMINARES</t>
  </si>
  <si>
    <t>103689</t>
  </si>
  <si>
    <t>FORNECIMENTO E INSTALAÇÃO DE PLACA DE OBRA COM CHAPA GALVANIZADA E ESTRUTURA DE MADEIRA. AF_03/2022_PS</t>
  </si>
  <si>
    <t>SINAPI</t>
  </si>
  <si>
    <t>M2</t>
  </si>
  <si>
    <t>un</t>
  </si>
  <si>
    <t>CO-29037</t>
  </si>
  <si>
    <t>SONDAGEM A PERCUSSÃO COM ENSAIO DE PENETRAÇÃO PADRÃO (SPT), DIÂMETRO 2.1/2", COM REVESTIMENTO, EXCLUSIVE DIÁRIA, MOBILIZAÇÃO E DESMOBILIZAÇÃO</t>
  </si>
  <si>
    <t>m</t>
  </si>
  <si>
    <t>CO-29070</t>
  </si>
  <si>
    <t>MOBILIZAÇÃO E DESMOBILIZAÇÃO DE EQUIPAMENTO DE SONDAGEM A PERCUSSÃO COM ENSAIO DE PENETRAÇÃO PADRÃO (SPT) - (CUSTO FIXO)</t>
  </si>
  <si>
    <t>ED-50702</t>
  </si>
  <si>
    <t>m2</t>
  </si>
  <si>
    <t>MOBILIZAÇÃO E DESMOBILIZAÇÃO DE OBRA</t>
  </si>
  <si>
    <t>90082</t>
  </si>
  <si>
    <t>M3</t>
  </si>
  <si>
    <t>INFRAESTRUTURA</t>
  </si>
  <si>
    <t>105009</t>
  </si>
  <si>
    <t>M</t>
  </si>
  <si>
    <t>93358</t>
  </si>
  <si>
    <t>101176</t>
  </si>
  <si>
    <t>106672</t>
  </si>
  <si>
    <t>PREPARO DE FUNDO DE VALA COM LARGURA MENOR QUE 1,5 M (ACERTO DO SOLO NATURAL), EM LOCAL COM NÍVEL ALTO DE INTERFERÊNCIA. AF_01/2026</t>
  </si>
  <si>
    <t>96616</t>
  </si>
  <si>
    <t>LASTRO DE CONCRETO MAGRO, APLICADO EM BLOCOS DE COROAMENTO OU SAPATAS. AF_01/2024</t>
  </si>
  <si>
    <t>KG</t>
  </si>
  <si>
    <t>92801</t>
  </si>
  <si>
    <t>92802</t>
  </si>
  <si>
    <t>92803</t>
  </si>
  <si>
    <t>92804</t>
  </si>
  <si>
    <t>92805</t>
  </si>
  <si>
    <t>96534</t>
  </si>
  <si>
    <t>104737</t>
  </si>
  <si>
    <t>REATERRO MANUAL DE VALAS, COM PLACA VIBRATÓRIA. AF_08/2023</t>
  </si>
  <si>
    <t>MESOESTRUTURA(CORTINAS E PILARES)</t>
  </si>
  <si>
    <t>ED-31562</t>
  </si>
  <si>
    <t>FÔRMA E DESFORMA PARA PILAR COM CHAPA DE COMPENSADO PLASTIFICADO, ESP. 12MM, REAPROVEITAMENTO (5X), EXCLUSIVE ESCORAMENTO</t>
  </si>
  <si>
    <t>100341</t>
  </si>
  <si>
    <t>ED-9054</t>
  </si>
  <si>
    <t>m3</t>
  </si>
  <si>
    <t>ED-27791</t>
  </si>
  <si>
    <t>Kg</t>
  </si>
  <si>
    <t>ED-29091</t>
  </si>
  <si>
    <t>TRANSPORTE DE VIGA OU TABULEIRO PARA PONTE (CUSTO FIXO), INCLUSIVE CARGA, EXCLUSIVE FORNECIMENTO , DESCARGA E TRANSPORTE EM QUILÔMETRO RODADO (CUSTO VARIÁVEL)</t>
  </si>
  <si>
    <t>ED-29092</t>
  </si>
  <si>
    <t>TxKM</t>
  </si>
  <si>
    <t>ED-29090</t>
  </si>
  <si>
    <t>ED-50428</t>
  </si>
  <si>
    <t>0307731</t>
  </si>
  <si>
    <t>SICRO NOVO</t>
  </si>
  <si>
    <t>dm³</t>
  </si>
  <si>
    <t>92538</t>
  </si>
  <si>
    <t>ED-49643</t>
  </si>
  <si>
    <t>ED-48668</t>
  </si>
  <si>
    <t>101792</t>
  </si>
  <si>
    <t>SERVIÇOS COMPLEMENTARES</t>
  </si>
  <si>
    <t>ED-50459</t>
  </si>
  <si>
    <t>PINTURA ACRÍLICA PARA PISO EM PASSEIO/SUPERFÍCIE CIMENTADA, DUAS (2) DEMÃOS, COM APLICAÇÃO MANUAL</t>
  </si>
  <si>
    <t>1.9.2</t>
  </si>
  <si>
    <t>ED-50634</t>
  </si>
  <si>
    <t>PLACA DE ALUMÍNIO FUNDIDO, DIMENSÃO (60X40)CM, PARA INAUGURAÇÃO, INCLUSIVE FIXAÇÃO</t>
  </si>
  <si>
    <t>VALOR BDI TOTAL:</t>
  </si>
  <si>
    <t>VALOR ORÇAMENTO:</t>
  </si>
  <si>
    <t>VALOR TOTAL:</t>
  </si>
  <si>
    <t xml:space="preserve">PLANILHA ORÇAMENTÁRIA DE CUSTO </t>
  </si>
  <si>
    <t>ART.:</t>
  </si>
  <si>
    <r>
      <t xml:space="preserve">RESPONSÁVEL TECNICO: </t>
    </r>
    <r>
      <rPr>
        <sz val="12"/>
        <rFont val="Times New Roman"/>
        <family val="1"/>
      </rPr>
      <t>KÁREN MARIANA SOARES VIEIRA</t>
    </r>
  </si>
  <si>
    <t>(    )</t>
  </si>
  <si>
    <t>DIRETA</t>
  </si>
  <si>
    <t>( X )</t>
  </si>
  <si>
    <t>INDIRETA</t>
  </si>
  <si>
    <t>COMPOSIÇÃO/DEMONSTRATIVO DE BDI - EM ANEXO</t>
  </si>
  <si>
    <t>% ISS MUNICIPAL:</t>
  </si>
  <si>
    <t>BDI:</t>
  </si>
  <si>
    <t>1.0</t>
  </si>
  <si>
    <t xml:space="preserve">PILARES DE ARRANQUE </t>
  </si>
  <si>
    <t>CORTE E DOBRA DE AÇO CA-60, DIÂMETRO DE 6,3 MM. AF_06/2022</t>
  </si>
  <si>
    <t>CORTE E DOBRA DE AÇO CA-50, DIÂMETRO DE 8.0 MM. AF_06/2022</t>
  </si>
  <si>
    <t>CORTE E DOBRA DE AÇO CA-50, DIÂMETRO DE 10.0 MM. AF_06/2022</t>
  </si>
  <si>
    <t>1+0,6+0,6</t>
  </si>
  <si>
    <t>ED-50389</t>
  </si>
  <si>
    <t>MOBILIZAÇÃO E DESMOBILIZAÇÃO OBRA DISTANTE DE CENTRO URBANO COM VALOR ATÉ O VALOR DE 1.000.000,00</t>
  </si>
  <si>
    <t>COMP-ADM</t>
  </si>
  <si>
    <t>AMINISTRAÇÃO LOCAL</t>
  </si>
  <si>
    <t>PROPRIA</t>
  </si>
  <si>
    <t>Mês</t>
  </si>
  <si>
    <t>SICOR</t>
  </si>
  <si>
    <t>Mensal (mês)</t>
  </si>
  <si>
    <t xml:space="preserve">VOLUME ESCAVADO </t>
  </si>
  <si>
    <t xml:space="preserve">Reaproveitamento </t>
  </si>
  <si>
    <t>1.5.6</t>
  </si>
  <si>
    <t>1.5.8</t>
  </si>
  <si>
    <t>FORNECIMENTO DE CONCRETO ESTRUTURAL, PREPARADO EM OBRA COM BETONEIRA, COM FCK 25MPA, INCLUSIVE LANÇAMENTO, ADENSAMENTO E ACABAMENTO (FUNDAÇÃO)</t>
  </si>
  <si>
    <t xml:space="preserve">ED-49787
</t>
  </si>
  <si>
    <t>FORNECIMENTO DE CONCRETO ESTRUTURAL, PREPARADO EM OBRA, COM FCK 25MPA, INCLUSIVE LANÇAMENTO, ADENSAMENTO E ACABAMENTO</t>
  </si>
  <si>
    <t>ED-49619</t>
  </si>
  <si>
    <t xml:space="preserve">RODRIGO VIEIRA DE MATOS </t>
  </si>
  <si>
    <t>PREFEITO MUNICIPAL DE OLHOS D'ÁGUA-MG</t>
  </si>
  <si>
    <r>
      <rPr>
        <b/>
        <sz val="12"/>
        <rFont val="Times New Roman"/>
        <family val="1"/>
      </rPr>
      <t>REGIÃO/MÊS DE REFERÊNCIA:</t>
    </r>
    <r>
      <rPr>
        <sz val="12"/>
        <rFont val="Times New Roman"/>
        <family val="1"/>
      </rPr>
      <t xml:space="preserve"> SICOR 01/2026 DESONERADA, SINAPI 01/2026 DESONERADA, SICRO 01/2026 DESONERADA</t>
    </r>
  </si>
  <si>
    <t>BARRACÃO DE OBRA, EM CHAPA DE COMPENSADO RESINADO, INCLUSIVE INSTALAÇÕES SANITÁRIAS E MOBILIÁRIO - PADRÃO DER-MG</t>
  </si>
  <si>
    <t>ED-50135</t>
  </si>
  <si>
    <r>
      <rPr>
        <b/>
        <sz val="12"/>
        <rFont val="Times New Roman"/>
        <family val="1"/>
      </rPr>
      <t>OBRA:</t>
    </r>
    <r>
      <rPr>
        <sz val="12"/>
        <rFont val="Times New Roman"/>
        <family val="1"/>
      </rPr>
      <t xml:space="preserve"> EXECUÇÃO DE PONTE MISTA EM CONCRETO ARMADO E VIGAS METÁLICAS SOBRE O CÓRREGO DO RIBEIRÃO, LOCALIZADA NA COMUNIDADE DE BARROCÃO, NO MUNICÍPIO DE OLHOS D'ÁGUA/MG.</t>
    </r>
  </si>
  <si>
    <r>
      <rPr>
        <b/>
        <sz val="12"/>
        <rFont val="Times New Roman"/>
        <family val="1"/>
      </rPr>
      <t>LOCAL:</t>
    </r>
    <r>
      <rPr>
        <sz val="12"/>
        <rFont val="Times New Roman"/>
        <family val="1"/>
      </rPr>
      <t xml:space="preserve"> CÓRREGO DO RIBEIRÃO, LOCALIZADA NA COMUNIDADE DE BARROCÃO, NO MUNICÍPIO DE OLHOS D'ÁGUA/MG.</t>
    </r>
  </si>
  <si>
    <t>EXECUÇÃO DE PONTE MISTA EM CONCRETO ARMADO E VIGAS METÁLICAS SOBRE O CÓRREGO DO RIBEIRÃO, LOCALIZADA NA COMUNIDADE DE BARROCÃO, NO MUNICÍPIO DE OLHOS D'ÁGUA/MG.</t>
  </si>
  <si>
    <t>CÓRREGO DO RIBEIRÃO, LOCALIZADA NA COMUNIDADE DE BARROCÃO, NO MUNICÍPIO DE OLHOS D'ÁGUA/MG.</t>
  </si>
  <si>
    <t>GERADOR PORTÁTIL MONOFÁSICO, POTÊNCIA 5500 VA, MOTOR A GASOLINA, POTÊNCIA DO MOTOR 13 CV - MATERIAIS NA OPERAÇÃO. AF_03/2016</t>
  </si>
  <si>
    <t>H</t>
  </si>
  <si>
    <t>1.1.7</t>
  </si>
  <si>
    <t>1.1.8</t>
  </si>
  <si>
    <t>ENSACAMENTO DE AREIA. AF_01/2026</t>
  </si>
  <si>
    <t>ESGOTAMENTO DE VALA COM BOMBA SUBMERSÍVEL. AF_12/2022</t>
  </si>
  <si>
    <t>Hora (h)</t>
  </si>
  <si>
    <t>Hora Total (H)</t>
  </si>
  <si>
    <t>Espessura (m)</t>
  </si>
  <si>
    <t>6+6+4+4</t>
  </si>
  <si>
    <t xml:space="preserve">OS PILARES DE 1,00X1,00, FORAM CONSIDERADOS APENAS 0,60M DE COMPRIMENTO DEVIDO OS OUTROS 0,40CM DA SUA CONCRETAGEM JA ESTÁ NA CORTINA </t>
  </si>
  <si>
    <t>1.9.3</t>
  </si>
  <si>
    <t>Unidade (Unid)</t>
  </si>
  <si>
    <t>PONTE MISTA EM CONCRETO ARMADO E VIGAS METÁLICAS - EXTENSÃO 24 METROS</t>
  </si>
  <si>
    <t>CRONOGRAMA FÍSICO-FINANCEIRO</t>
  </si>
  <si>
    <r>
      <rPr>
        <b/>
        <sz val="12"/>
        <rFont val="Times New Roman"/>
        <family val="1"/>
      </rPr>
      <t>RESPONSÁVEL TECNICO</t>
    </r>
    <r>
      <rPr>
        <sz val="12"/>
        <rFont val="Times New Roman"/>
        <family val="1"/>
      </rPr>
      <t xml:space="preserve">: KÁREN MARIANA SOARES VIEIRA </t>
    </r>
  </si>
  <si>
    <t>ETAPAS/DESCRIÇÃO</t>
  </si>
  <si>
    <t>FÍSICO/ FINANCEIRO</t>
  </si>
  <si>
    <t>TOTAL  ETAPAS</t>
  </si>
  <si>
    <t>PREVISÃO DE EXECUÇÃO DAS OBRAS: 3 MÊS</t>
  </si>
  <si>
    <t>PREVISÃO DE EXECUÇÃO DAS OBRAS: 3  MÊS</t>
  </si>
  <si>
    <t>MÊS 1</t>
  </si>
  <si>
    <t>MÊS 2</t>
  </si>
  <si>
    <t>MÊS 3</t>
  </si>
  <si>
    <t>Físico %</t>
  </si>
  <si>
    <t>Financeiro</t>
  </si>
  <si>
    <t>RODRIGO VIEIRA DE MATOS</t>
  </si>
  <si>
    <t>ADIMINISTRAÇÃO LOCAL</t>
  </si>
  <si>
    <t xml:space="preserve">MOVIMENTO DE TERRA </t>
  </si>
  <si>
    <t xml:space="preserve">INFRAESTRUTURA </t>
  </si>
  <si>
    <r>
      <rPr>
        <b/>
        <sz val="12"/>
        <rFont val="Times New Roman"/>
        <family val="1"/>
      </rPr>
      <t>OBRA:</t>
    </r>
    <r>
      <rPr>
        <sz val="12"/>
        <rFont val="Times New Roman"/>
        <family val="1"/>
      </rPr>
      <t xml:space="preserve"> EXECUÇÃO DE PONTE MISTA EM CONCRETO ARMADO E VIGAS METÁLICAS SOBRE O CÓRREGO DO RIBEIRÃO, LOCALIZADA NA COMUNIDADE DE BARROCÃO, NO MUNICÍPIO DE OLHOS D'ÁGUA/MG. </t>
    </r>
  </si>
  <si>
    <r>
      <t xml:space="preserve">LOCAL: </t>
    </r>
    <r>
      <rPr>
        <sz val="12"/>
        <rFont val="Times New Roman"/>
        <family val="1"/>
      </rPr>
      <t>CÓRREGO DO RIBEIRÃO, LOCALIZADA NA COMUNIDADE DE BARROCÃO, NO MUNICÍPIO DE OLHOS D'ÁGUA/MG.</t>
    </r>
  </si>
  <si>
    <r>
      <t xml:space="preserve">REGIÃO/MÊS DE REFERÊNCIA: </t>
    </r>
    <r>
      <rPr>
        <sz val="12"/>
        <rFont val="Times New Roman"/>
        <family val="1"/>
      </rPr>
      <t>SICOR 01/2026 DESONERADA, SINAPI 01/2026 DESONERADA, SICRO 01/2026 DESONERADA</t>
    </r>
  </si>
  <si>
    <t xml:space="preserve">RESUMO DE AÇO </t>
  </si>
  <si>
    <t>​COMP-ADM​ AMINISTRAÇÃO LOCAL​ (MêS)</t>
  </si>
  <si>
    <t>Mão de Obra</t>
  </si>
  <si>
    <t>COEFICIENTE</t>
  </si>
  <si>
    <t>PREÇO UNITÁRIO</t>
  </si>
  <si>
    <t>00040818</t>
  </si>
  <si>
    <t>ENCARREGADO GERAL DE OBRAS (MENSALISTA)</t>
  </si>
  <si>
    <t>MES</t>
  </si>
  <si>
    <t>TOTAL Mão de Obra:</t>
  </si>
  <si>
    <t>Mão de Obra com Encargos Complementares</t>
  </si>
  <si>
    <t>93565</t>
  </si>
  <si>
    <t>ENGENHEIRO CIVIL DE OBRA JUNIOR COM ENCARGOS COMPLEMENTARES</t>
  </si>
  <si>
    <t>TOTAL Mão de Obra com Encargos Complementares:</t>
  </si>
  <si>
    <t>COMPOSIÇÃO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</si>
</sst>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000"/>
    <numFmt numFmtId="165" formatCode="&quot;R$&quot;\ #,##0.00"/>
    <numFmt numFmtId="166" formatCode="_(&quot;R$ &quot;* #,##0.00_);_(&quot;R$ &quot;* \(#,##0.00\);_(&quot;R$ &quot;* &quot;-&quot;??_);_(@_)"/>
    <numFmt numFmtId="167" formatCode="0.000"/>
    <numFmt numFmtId="168" formatCode="0.0000"/>
    <numFmt numFmtId="169" formatCode="#,##0.000"/>
    <numFmt numFmtId="170" formatCode="&quot;R$&quot;#,##0.00"/>
    <numFmt numFmtId="171" formatCode="#,##0.00000000"/>
    <numFmt numFmtId="172" formatCode="\R\$\ #,##0.00"/>
  </numFmts>
  <fonts count="1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0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b/>
      <u/>
      <sz val="18"/>
      <name val="Times New Roman"/>
      <family val="1"/>
    </font>
    <font>
      <sz val="12"/>
      <color theme="0"/>
      <name val="Times New Roman"/>
      <family val="1"/>
    </font>
    <font>
      <sz val="16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theme="4" tint="-0.24997711111789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rgb="FFCCCCCC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</cellStyleXfs>
  <cellXfs count="344">
    <xf numFmtId="0" fontId="0" fillId="0" borderId="0" xfId="0"/>
    <xf numFmtId="0" fontId="3" fillId="5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 wrapText="1"/>
    </xf>
    <xf numFmtId="4" fontId="1" fillId="7" borderId="5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4" fontId="1" fillId="3" borderId="0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right" vertical="center"/>
    </xf>
    <xf numFmtId="4" fontId="1" fillId="0" borderId="11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4" fontId="1" fillId="3" borderId="1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0" xfId="0" applyFont="1" applyBorder="1"/>
    <xf numFmtId="0" fontId="2" fillId="0" borderId="15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1" fillId="3" borderId="13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0" fillId="0" borderId="0" xfId="0" applyNumberFormat="1"/>
    <xf numFmtId="44" fontId="2" fillId="0" borderId="0" xfId="5" applyFont="1" applyBorder="1"/>
    <xf numFmtId="0" fontId="9" fillId="3" borderId="4" xfId="0" applyFont="1" applyFill="1" applyBorder="1" applyAlignment="1">
      <alignment vertical="center"/>
    </xf>
    <xf numFmtId="49" fontId="9" fillId="3" borderId="4" xfId="0" applyNumberFormat="1" applyFont="1" applyFill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vertical="center"/>
    </xf>
    <xf numFmtId="167" fontId="2" fillId="0" borderId="5" xfId="0" applyNumberFormat="1" applyFont="1" applyBorder="1" applyAlignment="1">
      <alignment horizontal="center" vertical="center" wrapText="1"/>
    </xf>
    <xf numFmtId="168" fontId="2" fillId="0" borderId="5" xfId="0" applyNumberFormat="1" applyFont="1" applyBorder="1" applyAlignment="1">
      <alignment horizontal="center" vertical="center" wrapText="1"/>
    </xf>
    <xf numFmtId="168" fontId="2" fillId="3" borderId="5" xfId="0" applyNumberFormat="1" applyFont="1" applyFill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9" fontId="2" fillId="0" borderId="5" xfId="0" applyNumberFormat="1" applyFont="1" applyBorder="1" applyAlignment="1">
      <alignment horizontal="center"/>
    </xf>
    <xf numFmtId="0" fontId="0" fillId="0" borderId="0" xfId="0"/>
    <xf numFmtId="0" fontId="13" fillId="0" borderId="30" xfId="0" applyNumberFormat="1" applyFont="1" applyFill="1" applyBorder="1" applyAlignment="1" applyProtection="1">
      <alignment horizontal="left" vertical="center" wrapText="1"/>
    </xf>
    <xf numFmtId="0" fontId="14" fillId="0" borderId="30" xfId="0" applyNumberFormat="1" applyFont="1" applyFill="1" applyBorder="1" applyAlignment="1" applyProtection="1">
      <alignment horizontal="left" vertical="center" wrapText="1"/>
    </xf>
    <xf numFmtId="0" fontId="14" fillId="0" borderId="29" xfId="0" applyNumberFormat="1" applyFont="1" applyFill="1" applyBorder="1" applyAlignment="1" applyProtection="1">
      <alignment horizontal="center" vertical="center" wrapText="1"/>
    </xf>
    <xf numFmtId="0" fontId="14" fillId="0" borderId="29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alignment wrapText="1"/>
      <protection locked="0"/>
    </xf>
    <xf numFmtId="4" fontId="1" fillId="0" borderId="5" xfId="0" applyNumberFormat="1" applyFont="1" applyBorder="1" applyAlignment="1">
      <alignment horizontal="center" vertical="center"/>
    </xf>
    <xf numFmtId="10" fontId="1" fillId="3" borderId="5" xfId="0" applyNumberFormat="1" applyFont="1" applyFill="1" applyBorder="1" applyAlignment="1">
      <alignment horizontal="center" vertical="center"/>
    </xf>
    <xf numFmtId="10" fontId="15" fillId="15" borderId="6" xfId="6" applyNumberFormat="1" applyFont="1" applyFill="1" applyBorder="1" applyAlignment="1">
      <alignment horizontal="center" vertical="center"/>
    </xf>
    <xf numFmtId="44" fontId="15" fillId="15" borderId="29" xfId="5" applyFont="1" applyFill="1" applyBorder="1" applyAlignment="1">
      <alignment vertical="center" wrapText="1"/>
    </xf>
    <xf numFmtId="44" fontId="13" fillId="0" borderId="29" xfId="5" applyFont="1" applyFill="1" applyBorder="1" applyAlignment="1" applyProtection="1">
      <alignment horizontal="right" vertical="center" wrapText="1"/>
    </xf>
    <xf numFmtId="44" fontId="14" fillId="0" borderId="29" xfId="5" applyFont="1" applyBorder="1" applyAlignment="1">
      <alignment horizontal="right" vertical="center" wrapText="1"/>
    </xf>
    <xf numFmtId="44" fontId="14" fillId="0" borderId="31" xfId="5" applyFont="1" applyBorder="1" applyAlignment="1">
      <alignment horizontal="right" vertical="center" wrapText="1"/>
    </xf>
    <xf numFmtId="44" fontId="13" fillId="0" borderId="31" xfId="5" applyFont="1" applyFill="1" applyBorder="1" applyAlignment="1" applyProtection="1">
      <alignment horizontal="right" vertical="center" wrapText="1"/>
    </xf>
    <xf numFmtId="44" fontId="14" fillId="0" borderId="29" xfId="5" applyFont="1" applyFill="1" applyBorder="1" applyAlignment="1" applyProtection="1">
      <alignment horizontal="right" vertical="center" wrapText="1"/>
    </xf>
    <xf numFmtId="0" fontId="15" fillId="15" borderId="29" xfId="0" applyFont="1" applyFill="1" applyBorder="1" applyAlignment="1">
      <alignment horizontal="center" vertical="center" wrapText="1"/>
    </xf>
    <xf numFmtId="0" fontId="15" fillId="15" borderId="3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5" fillId="15" borderId="3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4" fontId="0" fillId="0" borderId="0" xfId="0" applyNumberFormat="1" applyAlignment="1"/>
    <xf numFmtId="0" fontId="0" fillId="0" borderId="0" xfId="0" applyAlignment="1"/>
    <xf numFmtId="44" fontId="0" fillId="0" borderId="0" xfId="5" applyFont="1" applyAlignment="1"/>
    <xf numFmtId="0" fontId="6" fillId="3" borderId="29" xfId="0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 applyProtection="1">
      <alignment horizontal="center" vertical="center" wrapText="1"/>
    </xf>
    <xf numFmtId="44" fontId="14" fillId="0" borderId="29" xfId="5" applyFont="1" applyBorder="1" applyAlignment="1">
      <alignment horizontal="center" vertical="center" wrapText="1"/>
    </xf>
    <xf numFmtId="44" fontId="14" fillId="0" borderId="31" xfId="5" applyFont="1" applyBorder="1" applyAlignment="1">
      <alignment horizontal="center" vertical="center" wrapText="1"/>
    </xf>
    <xf numFmtId="44" fontId="14" fillId="0" borderId="29" xfId="5" applyFont="1" applyFill="1" applyBorder="1" applyAlignment="1" applyProtection="1">
      <alignment horizontal="center" vertical="center" wrapText="1"/>
    </xf>
    <xf numFmtId="44" fontId="0" fillId="0" borderId="0" xfId="0" applyNumberFormat="1"/>
    <xf numFmtId="44" fontId="14" fillId="0" borderId="29" xfId="0" applyNumberFormat="1" applyFont="1" applyFill="1" applyBorder="1" applyAlignment="1" applyProtection="1">
      <alignment horizontal="left" vertical="center" wrapText="1"/>
    </xf>
    <xf numFmtId="44" fontId="13" fillId="7" borderId="31" xfId="5" applyFont="1" applyFill="1" applyBorder="1" applyAlignment="1" applyProtection="1">
      <alignment horizontal="right" vertical="center" wrapText="1"/>
    </xf>
    <xf numFmtId="0" fontId="4" fillId="0" borderId="20" xfId="0" applyFont="1" applyBorder="1"/>
    <xf numFmtId="44" fontId="15" fillId="15" borderId="31" xfId="5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8" fontId="14" fillId="0" borderId="29" xfId="5" applyNumberFormat="1" applyFont="1" applyFill="1" applyBorder="1" applyAlignment="1" applyProtection="1">
      <alignment horizontal="right" vertical="center" wrapText="1"/>
    </xf>
    <xf numFmtId="0" fontId="13" fillId="0" borderId="35" xfId="0" applyNumberFormat="1" applyFont="1" applyFill="1" applyBorder="1" applyAlignment="1" applyProtection="1">
      <alignment horizontal="left" vertical="center" wrapText="1"/>
    </xf>
    <xf numFmtId="44" fontId="13" fillId="0" borderId="36" xfId="5" applyFont="1" applyFill="1" applyBorder="1" applyAlignment="1" applyProtection="1">
      <alignment horizontal="right" vertical="center" wrapText="1"/>
    </xf>
    <xf numFmtId="44" fontId="13" fillId="0" borderId="37" xfId="5" applyFont="1" applyFill="1" applyBorder="1" applyAlignment="1" applyProtection="1">
      <alignment horizontal="right" vertical="center" wrapText="1"/>
    </xf>
    <xf numFmtId="44" fontId="13" fillId="0" borderId="39" xfId="5" applyFont="1" applyFill="1" applyBorder="1" applyAlignment="1" applyProtection="1">
      <alignment horizontal="right" vertical="center" wrapText="1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4" fontId="14" fillId="0" borderId="5" xfId="5" applyFont="1" applyFill="1" applyBorder="1" applyAlignment="1" applyProtection="1">
      <alignment horizontal="right" vertical="center" wrapText="1"/>
    </xf>
    <xf numFmtId="44" fontId="14" fillId="0" borderId="5" xfId="5" applyFont="1" applyBorder="1" applyAlignment="1">
      <alignment horizontal="right" vertical="center" wrapText="1"/>
    </xf>
    <xf numFmtId="49" fontId="1" fillId="16" borderId="5" xfId="7" applyNumberFormat="1" applyFont="1" applyFill="1" applyBorder="1" applyAlignment="1">
      <alignment horizontal="center" vertical="center" wrapText="1"/>
    </xf>
    <xf numFmtId="10" fontId="1" fillId="8" borderId="5" xfId="7" applyNumberFormat="1" applyFont="1" applyFill="1" applyBorder="1" applyAlignment="1">
      <alignment horizontal="center" vertical="center" wrapText="1"/>
    </xf>
    <xf numFmtId="49" fontId="2" fillId="8" borderId="5" xfId="7" applyNumberFormat="1" applyFont="1" applyFill="1" applyBorder="1" applyAlignment="1">
      <alignment horizontal="center" vertical="center" wrapText="1"/>
    </xf>
    <xf numFmtId="170" fontId="2" fillId="8" borderId="5" xfId="3" applyNumberFormat="1" applyFont="1" applyFill="1" applyBorder="1" applyAlignment="1">
      <alignment horizontal="center" vertical="center" wrapText="1"/>
    </xf>
    <xf numFmtId="49" fontId="1" fillId="8" borderId="5" xfId="7" applyNumberFormat="1" applyFont="1" applyFill="1" applyBorder="1" applyAlignment="1">
      <alignment horizontal="center" vertical="center" wrapText="1"/>
    </xf>
    <xf numFmtId="170" fontId="15" fillId="15" borderId="5" xfId="7" applyNumberFormat="1" applyFont="1" applyFill="1" applyBorder="1" applyAlignment="1">
      <alignment horizontal="center" vertical="center" wrapText="1"/>
    </xf>
    <xf numFmtId="0" fontId="1" fillId="8" borderId="14" xfId="7" applyFont="1" applyFill="1" applyBorder="1" applyAlignment="1">
      <alignment wrapText="1"/>
    </xf>
    <xf numFmtId="0" fontId="1" fillId="8" borderId="15" xfId="7" applyFont="1" applyFill="1" applyBorder="1" applyAlignment="1">
      <alignment wrapText="1"/>
    </xf>
    <xf numFmtId="0" fontId="2" fillId="0" borderId="14" xfId="7" applyFont="1" applyBorder="1" applyAlignment="1">
      <alignment vertical="center"/>
    </xf>
    <xf numFmtId="0" fontId="2" fillId="0" borderId="15" xfId="7" applyFont="1" applyBorder="1" applyAlignment="1">
      <alignment vertical="center"/>
    </xf>
    <xf numFmtId="0" fontId="2" fillId="0" borderId="24" xfId="7" applyFont="1" applyBorder="1" applyAlignment="1">
      <alignment vertical="center"/>
    </xf>
    <xf numFmtId="0" fontId="2" fillId="0" borderId="25" xfId="7" applyFont="1" applyBorder="1" applyAlignment="1">
      <alignment vertical="center"/>
    </xf>
    <xf numFmtId="165" fontId="0" fillId="0" borderId="0" xfId="0" applyNumberFormat="1"/>
    <xf numFmtId="0" fontId="1" fillId="8" borderId="0" xfId="7" applyFont="1" applyFill="1" applyBorder="1" applyAlignment="1">
      <alignment wrapText="1"/>
    </xf>
    <xf numFmtId="0" fontId="2" fillId="0" borderId="0" xfId="7" applyFont="1" applyBorder="1" applyAlignment="1">
      <alignment vertical="center"/>
    </xf>
    <xf numFmtId="165" fontId="2" fillId="0" borderId="0" xfId="7" applyNumberFormat="1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wrapText="1"/>
      <protection locked="0"/>
    </xf>
    <xf numFmtId="0" fontId="13" fillId="0" borderId="0" xfId="0" applyFont="1" applyBorder="1" applyAlignment="1">
      <alignment vertical="top" wrapText="1"/>
    </xf>
    <xf numFmtId="0" fontId="0" fillId="0" borderId="5" xfId="0" applyBorder="1"/>
    <xf numFmtId="0" fontId="13" fillId="17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171" fontId="14" fillId="0" borderId="5" xfId="0" applyNumberFormat="1" applyFont="1" applyBorder="1" applyAlignment="1">
      <alignment horizontal="right" vertical="top" wrapText="1"/>
    </xf>
    <xf numFmtId="172" fontId="14" fillId="0" borderId="5" xfId="0" applyNumberFormat="1" applyFont="1" applyBorder="1" applyAlignment="1">
      <alignment horizontal="right" vertical="top" wrapText="1"/>
    </xf>
    <xf numFmtId="172" fontId="13" fillId="0" borderId="5" xfId="0" applyNumberFormat="1" applyFont="1" applyBorder="1" applyAlignment="1">
      <alignment horizontal="right" vertical="top" wrapText="1"/>
    </xf>
    <xf numFmtId="0" fontId="0" fillId="0" borderId="6" xfId="0" applyBorder="1"/>
    <xf numFmtId="0" fontId="13" fillId="17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172" fontId="14" fillId="0" borderId="6" xfId="0" applyNumberFormat="1" applyFont="1" applyBorder="1" applyAlignment="1">
      <alignment horizontal="right" vertical="top" wrapText="1"/>
    </xf>
    <xf numFmtId="172" fontId="13" fillId="0" borderId="6" xfId="0" applyNumberFormat="1" applyFont="1" applyBorder="1" applyAlignment="1">
      <alignment horizontal="right" vertical="top" wrapText="1"/>
    </xf>
    <xf numFmtId="0" fontId="4" fillId="0" borderId="14" xfId="0" applyFont="1" applyBorder="1" applyAlignment="1" applyProtection="1">
      <alignment wrapText="1"/>
      <protection locked="0"/>
    </xf>
    <xf numFmtId="4" fontId="13" fillId="0" borderId="6" xfId="0" applyNumberFormat="1" applyFont="1" applyBorder="1" applyAlignment="1">
      <alignment horizontal="right" vertical="center" wrapText="1"/>
    </xf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0" borderId="0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5" fillId="15" borderId="30" xfId="0" applyFont="1" applyFill="1" applyBorder="1" applyAlignment="1">
      <alignment horizontal="center" vertical="center" wrapText="1"/>
    </xf>
    <xf numFmtId="0" fontId="15" fillId="15" borderId="29" xfId="0" applyFont="1" applyFill="1" applyBorder="1" applyAlignment="1">
      <alignment horizontal="center" vertical="center" wrapText="1"/>
    </xf>
    <xf numFmtId="0" fontId="15" fillId="15" borderId="3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5" fillId="15" borderId="29" xfId="0" applyFont="1" applyFill="1" applyBorder="1" applyAlignment="1">
      <alignment horizontal="left" vertical="center" wrapText="1"/>
    </xf>
    <xf numFmtId="0" fontId="13" fillId="0" borderId="29" xfId="0" applyNumberFormat="1" applyFont="1" applyFill="1" applyBorder="1" applyAlignment="1" applyProtection="1">
      <alignment horizontal="left" vertical="center" wrapText="1"/>
    </xf>
    <xf numFmtId="0" fontId="13" fillId="0" borderId="38" xfId="0" applyNumberFormat="1" applyFont="1" applyFill="1" applyBorder="1" applyAlignment="1" applyProtection="1">
      <alignment horizontal="right" vertical="center" wrapText="1"/>
    </xf>
    <xf numFmtId="0" fontId="13" fillId="0" borderId="29" xfId="0" applyNumberFormat="1" applyFont="1" applyFill="1" applyBorder="1" applyAlignment="1" applyProtection="1">
      <alignment horizontal="right" vertical="center" wrapText="1"/>
    </xf>
    <xf numFmtId="0" fontId="13" fillId="0" borderId="36" xfId="0" applyNumberFormat="1" applyFont="1" applyFill="1" applyBorder="1" applyAlignment="1" applyProtection="1">
      <alignment horizontal="left" vertical="center" wrapText="1"/>
    </xf>
    <xf numFmtId="0" fontId="2" fillId="3" borderId="13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right" vertical="center"/>
    </xf>
    <xf numFmtId="0" fontId="1" fillId="3" borderId="22" xfId="0" applyFont="1" applyFill="1" applyBorder="1" applyAlignment="1">
      <alignment horizontal="right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15" borderId="4" xfId="7" applyFont="1" applyFill="1" applyBorder="1" applyAlignment="1">
      <alignment horizontal="center" vertical="center" wrapText="1"/>
    </xf>
    <xf numFmtId="0" fontId="15" fillId="15" borderId="5" xfId="7" applyFont="1" applyFill="1" applyBorder="1" applyAlignment="1">
      <alignment horizontal="center" vertical="center"/>
    </xf>
    <xf numFmtId="0" fontId="15" fillId="15" borderId="5" xfId="7" applyFont="1" applyFill="1" applyBorder="1" applyAlignment="1">
      <alignment horizontal="center" vertical="center" wrapText="1"/>
    </xf>
    <xf numFmtId="0" fontId="15" fillId="15" borderId="6" xfId="7" applyFont="1" applyFill="1" applyBorder="1" applyAlignment="1">
      <alignment horizontal="center" vertical="center" wrapText="1"/>
    </xf>
    <xf numFmtId="0" fontId="15" fillId="15" borderId="6" xfId="7" applyFont="1" applyFill="1" applyBorder="1" applyAlignment="1">
      <alignment horizontal="center" vertical="center"/>
    </xf>
    <xf numFmtId="0" fontId="1" fillId="8" borderId="4" xfId="7" applyFont="1" applyFill="1" applyBorder="1" applyAlignment="1">
      <alignment horizontal="center" vertical="center" wrapText="1"/>
    </xf>
    <xf numFmtId="0" fontId="1" fillId="8" borderId="5" xfId="7" applyFont="1" applyFill="1" applyBorder="1" applyAlignment="1">
      <alignment vertical="center" wrapText="1"/>
    </xf>
    <xf numFmtId="10" fontId="1" fillId="16" borderId="5" xfId="7" applyNumberFormat="1" applyFont="1" applyFill="1" applyBorder="1" applyAlignment="1">
      <alignment horizontal="center" vertical="center" wrapText="1"/>
    </xf>
    <xf numFmtId="10" fontId="1" fillId="16" borderId="6" xfId="7" applyNumberFormat="1" applyFont="1" applyFill="1" applyBorder="1" applyAlignment="1">
      <alignment horizontal="center" vertical="center" wrapText="1"/>
    </xf>
    <xf numFmtId="170" fontId="2" fillId="8" borderId="5" xfId="3" applyNumberFormat="1" applyFont="1" applyFill="1" applyBorder="1" applyAlignment="1">
      <alignment horizontal="center" vertical="center" wrapText="1"/>
    </xf>
    <xf numFmtId="170" fontId="2" fillId="8" borderId="6" xfId="3" applyNumberFormat="1" applyFont="1" applyFill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/>
    </xf>
    <xf numFmtId="0" fontId="2" fillId="0" borderId="0" xfId="7" applyFont="1" applyBorder="1" applyAlignment="1">
      <alignment horizontal="center" vertical="center"/>
    </xf>
    <xf numFmtId="0" fontId="1" fillId="8" borderId="5" xfId="7" applyFont="1" applyFill="1" applyBorder="1" applyAlignment="1">
      <alignment horizontal="center" vertical="center" wrapText="1"/>
    </xf>
    <xf numFmtId="10" fontId="1" fillId="8" borderId="5" xfId="7" applyNumberFormat="1" applyFont="1" applyFill="1" applyBorder="1" applyAlignment="1">
      <alignment horizontal="center" vertical="center" wrapText="1"/>
    </xf>
    <xf numFmtId="10" fontId="1" fillId="8" borderId="6" xfId="7" applyNumberFormat="1" applyFont="1" applyFill="1" applyBorder="1" applyAlignment="1">
      <alignment horizontal="center" vertical="center" wrapText="1"/>
    </xf>
    <xf numFmtId="170" fontId="15" fillId="15" borderId="5" xfId="7" applyNumberFormat="1" applyFont="1" applyFill="1" applyBorder="1" applyAlignment="1">
      <alignment horizontal="center" vertical="center" wrapText="1"/>
    </xf>
    <xf numFmtId="170" fontId="15" fillId="15" borderId="6" xfId="7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14" borderId="4" xfId="0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2" fillId="13" borderId="6" xfId="0" applyFont="1" applyFill="1" applyBorder="1" applyAlignment="1">
      <alignment horizontal="center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right" vertical="top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47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48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</cellXfs>
  <cellStyles count="8">
    <cellStyle name="Moeda" xfId="5" builtinId="4"/>
    <cellStyle name="Moeda 3 2" xfId="3" xr:uid="{4D0182C5-11CE-46E7-BDE7-8F99D43C8D2D}"/>
    <cellStyle name="Moeda 4" xfId="4" xr:uid="{1C60184C-BBBA-4D26-B786-8C2F1D472EF5}"/>
    <cellStyle name="Normal" xfId="0" builtinId="0"/>
    <cellStyle name="Normal 2 2" xfId="7" xr:uid="{78B5A207-8210-46CB-B3E8-652A3E83DF05}"/>
    <cellStyle name="Normal 6" xfId="1" xr:uid="{39BF9BCA-8737-4B8B-9B65-0F6591857393}"/>
    <cellStyle name="Porcentagem" xfId="6" builtinId="5"/>
    <cellStyle name="Vírgula 7" xfId="2" xr:uid="{A9018E2E-F748-439B-A696-547A2A425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0</xdr:row>
      <xdr:rowOff>200026</xdr:rowOff>
    </xdr:from>
    <xdr:to>
      <xdr:col>9</xdr:col>
      <xdr:colOff>361950</xdr:colOff>
      <xdr:row>0</xdr:row>
      <xdr:rowOff>685800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2C2D3F-FBB8-40BA-A151-C040A9A1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0" y="200026"/>
          <a:ext cx="3067050" cy="485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1076325</xdr:colOff>
      <xdr:row>0</xdr:row>
      <xdr:rowOff>47625</xdr:rowOff>
    </xdr:from>
    <xdr:to>
      <xdr:col>9</xdr:col>
      <xdr:colOff>1154866</xdr:colOff>
      <xdr:row>1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6A06F0-C00B-44D6-9593-CC605E4A6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47625"/>
          <a:ext cx="3145591" cy="44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1047750</xdr:colOff>
      <xdr:row>0</xdr:row>
      <xdr:rowOff>0</xdr:rowOff>
    </xdr:from>
    <xdr:to>
      <xdr:col>9</xdr:col>
      <xdr:colOff>535741</xdr:colOff>
      <xdr:row>1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86E4F3-02B7-441A-9A47-B1FA87EC9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0"/>
          <a:ext cx="3145591" cy="428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UENAS\vlk\Users\kmari\OneDrive\&#193;rea%20de%20Trabalho\PLANILHA%20OR&#199;AMENTARIA%20JENIPAP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\Desktop\13%20-%20PROJETO%20DE%20CONSTRU&#199;&#195;O%20DA%20UNIDADE%20DE%20ATENDIMENTO%20INTEGRADO%20(UAI)\03%20-%20PLANILHAS\PLANILHA%20CONSTRU&#199;&#195;O%20DA%20UAI.xlsx" TargetMode="External"/><Relationship Id="rId1" Type="http://schemas.openxmlformats.org/officeDocument/2006/relationships/externalLinkPath" Target="/Users/karen/Desktop/13%20-%20PROJETO%20DE%20CONSTRU&#199;&#195;O%20DA%20UNIDADE%20DE%20ATENDIMENTO%20INTEGRADO%20(UAI)/03%20-%20PLANILHAS/PLANILHA%20CONSTRU&#199;&#195;O%20DA%20U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Orcamentária"/>
      <sheetName val="COMPOSIÇÃO LASTRO "/>
      <sheetName val="BDI"/>
      <sheetName val="Memória de Cálculo"/>
      <sheetName val="MEMORIA DE CALCULO AUXILIAR"/>
      <sheetName val="CPU 01"/>
      <sheetName val="CPU 02"/>
      <sheetName val="Cronograma"/>
      <sheetName val="PLANO DE APLICAÇÃO"/>
      <sheetName val="CROQUI DMT"/>
    </sheetNames>
    <sheetDataSet>
      <sheetData sheetId="0">
        <row r="17">
          <cell r="B17" t="str">
            <v>ED-50389</v>
          </cell>
          <cell r="C17" t="str">
            <v>MOBILIZAÇÃO E DESMOBILIZAÇÃO OBRA DISTANTE DE CENTRO URBANO COM VALOR ATÉ O VALOR DE 1.000.000,00</v>
          </cell>
        </row>
        <row r="19">
          <cell r="C19" t="str">
            <v>ADMINISTRAÇÃO DE CANTEIRO DE OBRA</v>
          </cell>
        </row>
        <row r="30">
          <cell r="C30" t="str">
            <v>LASTRO DE CONCRETO MAGRO, APLICADO EM BLOCOS DE COROAMENTO OU SAPATAS. AF_08/2017</v>
          </cell>
        </row>
        <row r="34">
          <cell r="C34" t="str">
            <v>REATERRO MANUAL DE VALA, INCLUSIVE ESPALHAMENTO E COMPACTAÇÃO MANUAL COM SOQUETE</v>
          </cell>
        </row>
        <row r="45">
          <cell r="C45" t="str">
            <v>TRANSPORTE DE VIGA OU TABULEIRO PARA PONTE (CUSTO VARIÁVEL), EXCLUSIVE FORNECIMENTO, DESCARGA E CUSTO FIXO DE TRANSPORTE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 ORÇAMENTÁRIA "/>
      <sheetName val="MEMÓRIA DE CÁLCULO "/>
      <sheetName val="CRONOGRAMA"/>
    </sheetNames>
    <sheetDataSet>
      <sheetData sheetId="0">
        <row r="12">
          <cell r="B12" t="str">
            <v>SERVIÇOS PRELIMINARES</v>
          </cell>
          <cell r="C12"/>
          <cell r="D12"/>
          <cell r="E12"/>
          <cell r="F12"/>
          <cell r="G12"/>
          <cell r="H12"/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52FA-AB50-495F-A09D-F6564756A80A}">
  <sheetPr>
    <pageSetUpPr fitToPage="1"/>
  </sheetPr>
  <dimension ref="A1:N79"/>
  <sheetViews>
    <sheetView view="pageBreakPreview" topLeftCell="A29" zoomScale="110" zoomScaleNormal="100" zoomScaleSheetLayoutView="110" workbookViewId="0">
      <selection activeCell="C44" sqref="C44"/>
    </sheetView>
  </sheetViews>
  <sheetFormatPr defaultRowHeight="15" x14ac:dyDescent="0.25"/>
  <cols>
    <col min="2" max="2" width="13.28515625" customWidth="1"/>
    <col min="3" max="3" width="94" customWidth="1"/>
    <col min="4" max="5" width="14.85546875" customWidth="1"/>
    <col min="6" max="6" width="17.140625" customWidth="1"/>
    <col min="7" max="10" width="16.85546875" customWidth="1"/>
    <col min="12" max="14" width="16.5703125" customWidth="1"/>
  </cols>
  <sheetData>
    <row r="1" spans="1:14" s="68" customFormat="1" ht="73.5" customHeight="1" x14ac:dyDescent="0.25">
      <c r="A1" s="162" t="s">
        <v>294</v>
      </c>
      <c r="B1" s="163"/>
      <c r="C1" s="163"/>
      <c r="D1" s="163"/>
      <c r="E1" s="163"/>
      <c r="F1" s="163"/>
      <c r="G1" s="163"/>
      <c r="H1" s="163"/>
      <c r="I1" s="163"/>
      <c r="J1" s="164"/>
      <c r="L1" s="91"/>
      <c r="M1" s="91"/>
      <c r="N1" s="91"/>
    </row>
    <row r="2" spans="1:14" s="68" customFormat="1" ht="31.5" customHeight="1" x14ac:dyDescent="0.25">
      <c r="A2" s="165" t="s">
        <v>331</v>
      </c>
      <c r="B2" s="166"/>
      <c r="C2" s="166"/>
      <c r="D2" s="166"/>
      <c r="E2" s="166"/>
      <c r="F2" s="166"/>
      <c r="G2" s="167" t="s">
        <v>170</v>
      </c>
      <c r="H2" s="167"/>
      <c r="I2" s="168">
        <f ca="1">TODAY()</f>
        <v>46204</v>
      </c>
      <c r="J2" s="169"/>
      <c r="L2" s="89"/>
      <c r="M2" s="90"/>
      <c r="N2" s="90"/>
    </row>
    <row r="3" spans="1:14" s="68" customFormat="1" ht="15.75" x14ac:dyDescent="0.25">
      <c r="A3" s="170" t="s">
        <v>332</v>
      </c>
      <c r="B3" s="171"/>
      <c r="C3" s="171"/>
      <c r="D3" s="171"/>
      <c r="E3" s="171"/>
      <c r="F3" s="171"/>
      <c r="G3" s="172" t="s">
        <v>295</v>
      </c>
      <c r="H3" s="173"/>
      <c r="I3" s="172"/>
      <c r="J3" s="174"/>
    </row>
    <row r="4" spans="1:14" s="68" customFormat="1" ht="15.75" x14ac:dyDescent="0.25">
      <c r="A4" s="182" t="s">
        <v>296</v>
      </c>
      <c r="B4" s="183"/>
      <c r="C4" s="183"/>
      <c r="D4" s="183"/>
      <c r="E4" s="183"/>
      <c r="F4" s="184"/>
      <c r="G4" s="172" t="s">
        <v>171</v>
      </c>
      <c r="H4" s="175"/>
      <c r="I4" s="175"/>
      <c r="J4" s="174"/>
    </row>
    <row r="5" spans="1:14" s="68" customFormat="1" ht="15.75" x14ac:dyDescent="0.25">
      <c r="A5" s="176" t="s">
        <v>328</v>
      </c>
      <c r="B5" s="177"/>
      <c r="C5" s="177"/>
      <c r="D5" s="177"/>
      <c r="E5" s="177"/>
      <c r="F5" s="177"/>
      <c r="G5" s="86" t="s">
        <v>297</v>
      </c>
      <c r="H5" s="75" t="s">
        <v>298</v>
      </c>
      <c r="I5" s="86" t="s">
        <v>299</v>
      </c>
      <c r="J5" s="8" t="s">
        <v>300</v>
      </c>
    </row>
    <row r="6" spans="1:14" s="68" customFormat="1" ht="31.5" x14ac:dyDescent="0.25">
      <c r="A6" s="176" t="s">
        <v>301</v>
      </c>
      <c r="B6" s="177"/>
      <c r="C6" s="177"/>
      <c r="D6" s="177"/>
      <c r="E6" s="177"/>
      <c r="F6" s="177"/>
      <c r="G6" s="21" t="s">
        <v>302</v>
      </c>
      <c r="H6" s="76">
        <v>0.03</v>
      </c>
      <c r="I6" s="86" t="s">
        <v>303</v>
      </c>
      <c r="J6" s="77">
        <v>0.29349999999999998</v>
      </c>
    </row>
    <row r="7" spans="1:14" s="68" customFormat="1" ht="15.75" x14ac:dyDescent="0.25">
      <c r="A7" s="178"/>
      <c r="B7" s="175"/>
      <c r="C7" s="175"/>
      <c r="D7" s="175"/>
      <c r="E7" s="175"/>
      <c r="F7" s="175"/>
      <c r="G7" s="175"/>
      <c r="H7" s="175"/>
      <c r="I7" s="175"/>
      <c r="J7" s="174"/>
    </row>
    <row r="8" spans="1:14" s="68" customFormat="1" ht="15.75" x14ac:dyDescent="0.25">
      <c r="A8" s="179" t="s">
        <v>221</v>
      </c>
      <c r="B8" s="180" t="s">
        <v>222</v>
      </c>
      <c r="C8" s="180" t="s">
        <v>7</v>
      </c>
      <c r="D8" s="180" t="s">
        <v>223</v>
      </c>
      <c r="E8" s="180" t="s">
        <v>224</v>
      </c>
      <c r="F8" s="180" t="s">
        <v>225</v>
      </c>
      <c r="G8" s="180" t="s">
        <v>226</v>
      </c>
      <c r="H8" s="180"/>
      <c r="I8" s="180" t="s">
        <v>227</v>
      </c>
      <c r="J8" s="181"/>
    </row>
    <row r="9" spans="1:14" s="68" customFormat="1" ht="15.75" x14ac:dyDescent="0.25">
      <c r="A9" s="179"/>
      <c r="B9" s="180"/>
      <c r="C9" s="180"/>
      <c r="D9" s="180"/>
      <c r="E9" s="180"/>
      <c r="F9" s="180"/>
      <c r="G9" s="84" t="s">
        <v>228</v>
      </c>
      <c r="H9" s="84" t="s">
        <v>229</v>
      </c>
      <c r="I9" s="84" t="s">
        <v>228</v>
      </c>
      <c r="J9" s="85" t="s">
        <v>229</v>
      </c>
    </row>
    <row r="10" spans="1:14" ht="15.75" x14ac:dyDescent="0.25">
      <c r="A10" s="87" t="s">
        <v>304</v>
      </c>
      <c r="B10" s="185" t="s">
        <v>348</v>
      </c>
      <c r="C10" s="185"/>
      <c r="D10" s="185"/>
      <c r="E10" s="185"/>
      <c r="F10" s="185"/>
      <c r="G10" s="185"/>
      <c r="H10" s="185"/>
      <c r="I10" s="78">
        <f>ROUND(SUM(I11,I20,I22,I24,I27,I40,I48,I55,I65),2)</f>
        <v>337370.96</v>
      </c>
      <c r="J10" s="101">
        <f>ROUND(SUM(J11,J20,J22,J24,J27,J40,J48,J55,J65),2)</f>
        <v>436417.62</v>
      </c>
    </row>
    <row r="11" spans="1:14" ht="15.75" x14ac:dyDescent="0.25">
      <c r="A11" s="69" t="s">
        <v>5</v>
      </c>
      <c r="B11" s="186" t="s">
        <v>230</v>
      </c>
      <c r="C11" s="186"/>
      <c r="D11" s="186"/>
      <c r="E11" s="186"/>
      <c r="F11" s="186"/>
      <c r="G11" s="186"/>
      <c r="H11" s="186"/>
      <c r="I11" s="79">
        <f>ROUND(SUM(I12:I19),2)</f>
        <v>21714.94</v>
      </c>
      <c r="J11" s="82">
        <f>ROUND(SUM(J12:J19),2)</f>
        <v>28087.06</v>
      </c>
    </row>
    <row r="12" spans="1:14" ht="31.5" x14ac:dyDescent="0.25">
      <c r="A12" s="70" t="s">
        <v>81</v>
      </c>
      <c r="B12" s="71" t="s">
        <v>231</v>
      </c>
      <c r="C12" s="72" t="s">
        <v>232</v>
      </c>
      <c r="D12" s="71" t="s">
        <v>233</v>
      </c>
      <c r="E12" s="71" t="s">
        <v>234</v>
      </c>
      <c r="F12" s="93">
        <f>'MEMORIA DE CALCULO'!I12</f>
        <v>4.5</v>
      </c>
      <c r="G12" s="83">
        <v>375.26</v>
      </c>
      <c r="H12" s="80">
        <f>ROUND(SUM(G12*(1+$J$6)),2)</f>
        <v>485.4</v>
      </c>
      <c r="I12" s="80">
        <f>ROUND(SUM(F12*G12),2)</f>
        <v>1688.67</v>
      </c>
      <c r="J12" s="81">
        <f>ROUND(SUM(F12*H12),2)</f>
        <v>2184.3000000000002</v>
      </c>
      <c r="L12" s="97">
        <f>I11+I22+I24+I27+I40+I48+I55+I65</f>
        <v>334030.64999999997</v>
      </c>
    </row>
    <row r="13" spans="1:14" ht="31.5" x14ac:dyDescent="0.25">
      <c r="A13" s="70" t="s">
        <v>82</v>
      </c>
      <c r="B13" s="71" t="s">
        <v>330</v>
      </c>
      <c r="C13" s="72" t="s">
        <v>329</v>
      </c>
      <c r="D13" s="71" t="s">
        <v>316</v>
      </c>
      <c r="E13" s="71" t="s">
        <v>234</v>
      </c>
      <c r="F13" s="93">
        <f>'MEMORIA DE CALCULO'!I18</f>
        <v>8</v>
      </c>
      <c r="G13" s="83">
        <v>683.95</v>
      </c>
      <c r="H13" s="80">
        <f t="shared" ref="H13:H17" si="0">ROUND(SUM(G13*(1+$J$6)),2)</f>
        <v>884.69</v>
      </c>
      <c r="I13" s="80">
        <f t="shared" ref="I13:I17" si="1">ROUND(SUM(F13*G13),2)</f>
        <v>5471.6</v>
      </c>
      <c r="J13" s="81">
        <f t="shared" ref="J13:J17" si="2">ROUND(SUM(F13*H13),2)</f>
        <v>7077.52</v>
      </c>
      <c r="L13" s="97">
        <f>L12*1%</f>
        <v>3340.3064999999997</v>
      </c>
    </row>
    <row r="14" spans="1:14" ht="31.5" x14ac:dyDescent="0.25">
      <c r="A14" s="70" t="s">
        <v>83</v>
      </c>
      <c r="B14" s="71">
        <v>93414</v>
      </c>
      <c r="C14" s="72" t="s">
        <v>335</v>
      </c>
      <c r="D14" s="71" t="s">
        <v>233</v>
      </c>
      <c r="E14" s="71" t="s">
        <v>336</v>
      </c>
      <c r="F14" s="93">
        <f>'MEMORIA DE CALCULO'!I24</f>
        <v>384</v>
      </c>
      <c r="G14" s="108">
        <v>11.22</v>
      </c>
      <c r="H14" s="80">
        <f t="shared" si="0"/>
        <v>14.51</v>
      </c>
      <c r="I14" s="80">
        <f t="shared" si="1"/>
        <v>4308.4799999999996</v>
      </c>
      <c r="J14" s="81">
        <f t="shared" si="2"/>
        <v>5571.84</v>
      </c>
    </row>
    <row r="15" spans="1:14" ht="31.5" x14ac:dyDescent="0.25">
      <c r="A15" s="70" t="s">
        <v>84</v>
      </c>
      <c r="B15" s="71" t="s">
        <v>236</v>
      </c>
      <c r="C15" s="72" t="s">
        <v>237</v>
      </c>
      <c r="D15" s="71" t="s">
        <v>316</v>
      </c>
      <c r="E15" s="71" t="s">
        <v>238</v>
      </c>
      <c r="F15" s="93">
        <f>'MEMORIA DE CALCULO'!I30</f>
        <v>32</v>
      </c>
      <c r="G15" s="83">
        <v>155.55000000000001</v>
      </c>
      <c r="H15" s="80">
        <f t="shared" si="0"/>
        <v>201.2</v>
      </c>
      <c r="I15" s="80">
        <f t="shared" si="1"/>
        <v>4977.6000000000004</v>
      </c>
      <c r="J15" s="81">
        <f t="shared" si="2"/>
        <v>6438.4</v>
      </c>
    </row>
    <row r="16" spans="1:14" ht="31.5" x14ac:dyDescent="0.25">
      <c r="A16" s="70" t="s">
        <v>85</v>
      </c>
      <c r="B16" s="71" t="s">
        <v>239</v>
      </c>
      <c r="C16" s="72" t="s">
        <v>240</v>
      </c>
      <c r="D16" s="71" t="s">
        <v>316</v>
      </c>
      <c r="E16" s="71" t="s">
        <v>235</v>
      </c>
      <c r="F16" s="93">
        <f>'MEMORIA DE CALCULO'!I36</f>
        <v>1</v>
      </c>
      <c r="G16" s="83">
        <v>3172.09</v>
      </c>
      <c r="H16" s="80">
        <f t="shared" si="0"/>
        <v>4103.1000000000004</v>
      </c>
      <c r="I16" s="80">
        <f t="shared" si="1"/>
        <v>3172.09</v>
      </c>
      <c r="J16" s="81">
        <f t="shared" si="2"/>
        <v>4103.1000000000004</v>
      </c>
    </row>
    <row r="17" spans="1:10" ht="31.5" x14ac:dyDescent="0.25">
      <c r="A17" s="70" t="s">
        <v>86</v>
      </c>
      <c r="B17" s="71" t="s">
        <v>241</v>
      </c>
      <c r="C17" s="72" t="s">
        <v>71</v>
      </c>
      <c r="D17" s="71" t="s">
        <v>316</v>
      </c>
      <c r="E17" s="71" t="s">
        <v>242</v>
      </c>
      <c r="F17" s="93">
        <f>'MEMORIA DE CALCULO'!I42</f>
        <v>80</v>
      </c>
      <c r="G17" s="83">
        <v>0.61</v>
      </c>
      <c r="H17" s="80">
        <f t="shared" si="0"/>
        <v>0.79</v>
      </c>
      <c r="I17" s="80">
        <f t="shared" si="1"/>
        <v>48.8</v>
      </c>
      <c r="J17" s="81">
        <f t="shared" si="2"/>
        <v>63.2</v>
      </c>
    </row>
    <row r="18" spans="1:10" s="68" customFormat="1" ht="15.75" x14ac:dyDescent="0.25">
      <c r="A18" s="70" t="s">
        <v>337</v>
      </c>
      <c r="B18" s="71">
        <v>92123</v>
      </c>
      <c r="C18" s="72" t="s">
        <v>339</v>
      </c>
      <c r="D18" s="71" t="s">
        <v>233</v>
      </c>
      <c r="E18" s="71" t="s">
        <v>269</v>
      </c>
      <c r="F18" s="93">
        <f>'MEMORIA DE CALCULO'!I48</f>
        <v>10</v>
      </c>
      <c r="G18" s="83">
        <v>71.09</v>
      </c>
      <c r="H18" s="80">
        <f t="shared" ref="H18:H19" si="3">ROUND(SUM(G18*(1+$J$6)),2)</f>
        <v>91.95</v>
      </c>
      <c r="I18" s="80">
        <f t="shared" ref="I18:I19" si="4">ROUND(SUM(F18*G18),2)</f>
        <v>710.9</v>
      </c>
      <c r="J18" s="81">
        <f t="shared" ref="J18:J19" si="5">ROUND(SUM(F18*H18),2)</f>
        <v>919.5</v>
      </c>
    </row>
    <row r="19" spans="1:10" s="68" customFormat="1" ht="15.75" x14ac:dyDescent="0.25">
      <c r="A19" s="70" t="s">
        <v>338</v>
      </c>
      <c r="B19" s="71">
        <v>104482</v>
      </c>
      <c r="C19" s="72" t="s">
        <v>340</v>
      </c>
      <c r="D19" s="71" t="s">
        <v>233</v>
      </c>
      <c r="E19" s="71" t="s">
        <v>336</v>
      </c>
      <c r="F19" s="93">
        <f>'MEMORIA DE CALCULO'!I54</f>
        <v>40</v>
      </c>
      <c r="G19" s="83">
        <v>33.42</v>
      </c>
      <c r="H19" s="80">
        <f t="shared" si="3"/>
        <v>43.23</v>
      </c>
      <c r="I19" s="80">
        <f t="shared" si="4"/>
        <v>1336.8</v>
      </c>
      <c r="J19" s="81">
        <f t="shared" si="5"/>
        <v>1729.2</v>
      </c>
    </row>
    <row r="20" spans="1:10" ht="15.75" x14ac:dyDescent="0.25">
      <c r="A20" s="69" t="s">
        <v>13</v>
      </c>
      <c r="B20" s="186" t="s">
        <v>243</v>
      </c>
      <c r="C20" s="186"/>
      <c r="D20" s="186"/>
      <c r="E20" s="186"/>
      <c r="F20" s="186"/>
      <c r="G20" s="186"/>
      <c r="H20" s="186"/>
      <c r="I20" s="79">
        <f>ROUND(SUM(I21),2)</f>
        <v>3340.31</v>
      </c>
      <c r="J20" s="82">
        <f>ROUND(SUM(J21),2)</f>
        <v>4320.6899999999996</v>
      </c>
    </row>
    <row r="21" spans="1:10" s="68" customFormat="1" ht="31.5" x14ac:dyDescent="0.25">
      <c r="A21" s="70" t="s">
        <v>88</v>
      </c>
      <c r="B21" s="71" t="s">
        <v>310</v>
      </c>
      <c r="C21" s="72" t="s">
        <v>311</v>
      </c>
      <c r="D21" s="71" t="s">
        <v>316</v>
      </c>
      <c r="E21" s="92" t="s">
        <v>17</v>
      </c>
      <c r="F21" s="93">
        <v>1</v>
      </c>
      <c r="G21" s="98">
        <f>L13</f>
        <v>3340.3064999999997</v>
      </c>
      <c r="H21" s="80">
        <f t="shared" ref="H21" si="6">ROUND(SUM(G21*(1+$J$6)),2)</f>
        <v>4320.6899999999996</v>
      </c>
      <c r="I21" s="80">
        <f t="shared" ref="I21" si="7">ROUND(SUM(F21*G21),2)</f>
        <v>3340.31</v>
      </c>
      <c r="J21" s="81">
        <f t="shared" ref="J21" si="8">ROUND(SUM(F21*H21),2)</f>
        <v>4320.6899999999996</v>
      </c>
    </row>
    <row r="22" spans="1:10" ht="15.75" x14ac:dyDescent="0.25">
      <c r="A22" s="69" t="s">
        <v>14</v>
      </c>
      <c r="B22" s="186" t="s">
        <v>18</v>
      </c>
      <c r="C22" s="186"/>
      <c r="D22" s="186"/>
      <c r="E22" s="186"/>
      <c r="F22" s="186"/>
      <c r="G22" s="186"/>
      <c r="H22" s="186"/>
      <c r="I22" s="79">
        <f>ROUND(SUM(I23),2)</f>
        <v>12102.66</v>
      </c>
      <c r="J22" s="82">
        <f>ROUND(SUM(J23),2)</f>
        <v>15654.78</v>
      </c>
    </row>
    <row r="23" spans="1:10" s="68" customFormat="1" ht="31.5" x14ac:dyDescent="0.25">
      <c r="A23" s="70" t="s">
        <v>89</v>
      </c>
      <c r="B23" s="71" t="s">
        <v>312</v>
      </c>
      <c r="C23" s="72" t="s">
        <v>313</v>
      </c>
      <c r="D23" s="71" t="s">
        <v>314</v>
      </c>
      <c r="E23" s="71" t="s">
        <v>315</v>
      </c>
      <c r="F23" s="93">
        <f>'MEMORIA DE CALCULO'!I68</f>
        <v>3</v>
      </c>
      <c r="G23" s="96">
        <v>4034.22</v>
      </c>
      <c r="H23" s="94">
        <f t="shared" ref="H23" si="9">ROUND(SUM(G23*(1+$J$6)),2)</f>
        <v>5218.26</v>
      </c>
      <c r="I23" s="94">
        <f t="shared" ref="I23" si="10">ROUND(SUM(F23*G23),2)</f>
        <v>12102.66</v>
      </c>
      <c r="J23" s="95">
        <f t="shared" ref="J23" si="11">ROUND(SUM(F23*H23),2)</f>
        <v>15654.78</v>
      </c>
    </row>
    <row r="24" spans="1:10" ht="15.75" x14ac:dyDescent="0.25">
      <c r="A24" s="69" t="s">
        <v>15</v>
      </c>
      <c r="B24" s="186" t="s">
        <v>20</v>
      </c>
      <c r="C24" s="186"/>
      <c r="D24" s="186"/>
      <c r="E24" s="186"/>
      <c r="F24" s="186"/>
      <c r="G24" s="186"/>
      <c r="H24" s="186"/>
      <c r="I24" s="79">
        <f>ROUND(SUM(I25:I26),2)</f>
        <v>12256.96</v>
      </c>
      <c r="J24" s="82">
        <f>ROUND(SUM(J25:J26),2)</f>
        <v>15852.96</v>
      </c>
    </row>
    <row r="25" spans="1:10" ht="63" x14ac:dyDescent="0.25">
      <c r="A25" s="70" t="s">
        <v>87</v>
      </c>
      <c r="B25" s="71" t="s">
        <v>244</v>
      </c>
      <c r="C25" s="72" t="s">
        <v>79</v>
      </c>
      <c r="D25" s="71" t="s">
        <v>233</v>
      </c>
      <c r="E25" s="71" t="s">
        <v>245</v>
      </c>
      <c r="F25" s="93">
        <f>'MEMORIA DE CALCULO'!I76</f>
        <v>363.6</v>
      </c>
      <c r="G25" s="83">
        <v>10.1</v>
      </c>
      <c r="H25" s="80">
        <f t="shared" ref="H25:H26" si="12">ROUND(SUM(G25*(1+$J$6)),2)</f>
        <v>13.06</v>
      </c>
      <c r="I25" s="80">
        <f t="shared" ref="I25" si="13">ROUND(SUM(F25*G25),2)</f>
        <v>3672.36</v>
      </c>
      <c r="J25" s="81">
        <f t="shared" ref="J25" si="14">ROUND(SUM(F25*H25),2)</f>
        <v>4748.62</v>
      </c>
    </row>
    <row r="26" spans="1:10" ht="15.75" x14ac:dyDescent="0.25">
      <c r="A26" s="70" t="s">
        <v>174</v>
      </c>
      <c r="B26" s="71" t="s">
        <v>262</v>
      </c>
      <c r="C26" s="72" t="s">
        <v>263</v>
      </c>
      <c r="D26" s="71" t="s">
        <v>233</v>
      </c>
      <c r="E26" s="71" t="s">
        <v>245</v>
      </c>
      <c r="F26" s="93">
        <f>'MEMORIA DE CALCULO'!I82</f>
        <v>363.6</v>
      </c>
      <c r="G26" s="83">
        <v>23.61</v>
      </c>
      <c r="H26" s="80">
        <f t="shared" si="12"/>
        <v>30.54</v>
      </c>
      <c r="I26" s="80">
        <f t="shared" ref="I26" si="15">ROUND(SUM(F26*G26),2)</f>
        <v>8584.6</v>
      </c>
      <c r="J26" s="81">
        <f t="shared" ref="J26" si="16">ROUND(SUM(F26*H26),2)</f>
        <v>11104.34</v>
      </c>
    </row>
    <row r="27" spans="1:10" ht="15.75" x14ac:dyDescent="0.25">
      <c r="A27" s="69" t="s">
        <v>31</v>
      </c>
      <c r="B27" s="186" t="s">
        <v>246</v>
      </c>
      <c r="C27" s="186"/>
      <c r="D27" s="186"/>
      <c r="E27" s="186"/>
      <c r="F27" s="186"/>
      <c r="G27" s="186"/>
      <c r="H27" s="186"/>
      <c r="I27" s="79">
        <f>ROUND(SUM(I28:I39),2)</f>
        <v>99441.04</v>
      </c>
      <c r="J27" s="82">
        <f>ROUND(SUM(J28:J39),2)</f>
        <v>128632.29</v>
      </c>
    </row>
    <row r="28" spans="1:10" ht="31.5" x14ac:dyDescent="0.25">
      <c r="A28" s="70" t="s">
        <v>151</v>
      </c>
      <c r="B28" s="71" t="s">
        <v>247</v>
      </c>
      <c r="C28" s="72" t="s">
        <v>90</v>
      </c>
      <c r="D28" s="71" t="s">
        <v>233</v>
      </c>
      <c r="E28" s="71" t="s">
        <v>248</v>
      </c>
      <c r="F28" s="93">
        <f>'MEMORIA DE CALCULO'!I91</f>
        <v>103.36</v>
      </c>
      <c r="G28" s="83">
        <v>93.34</v>
      </c>
      <c r="H28" s="80">
        <f t="shared" ref="H28:H39" si="17">ROUND(SUM(G28*(1+$J$6)),2)</f>
        <v>120.74</v>
      </c>
      <c r="I28" s="80">
        <f t="shared" ref="I28:I39" si="18">ROUND(SUM(F28*G28),2)</f>
        <v>9647.6200000000008</v>
      </c>
      <c r="J28" s="81">
        <f t="shared" ref="J28:J39" si="19">ROUND(SUM(F28*H28),2)</f>
        <v>12479.69</v>
      </c>
    </row>
    <row r="29" spans="1:10" ht="15.75" x14ac:dyDescent="0.25">
      <c r="A29" s="70" t="s">
        <v>152</v>
      </c>
      <c r="B29" s="71" t="s">
        <v>249</v>
      </c>
      <c r="C29" s="72" t="s">
        <v>91</v>
      </c>
      <c r="D29" s="71" t="s">
        <v>233</v>
      </c>
      <c r="E29" s="71" t="s">
        <v>245</v>
      </c>
      <c r="F29" s="93">
        <f>'MEMORIA DE CALCULO'!I105</f>
        <v>186</v>
      </c>
      <c r="G29" s="83">
        <v>93.27</v>
      </c>
      <c r="H29" s="80">
        <f t="shared" si="17"/>
        <v>120.64</v>
      </c>
      <c r="I29" s="80">
        <f t="shared" si="18"/>
        <v>17348.22</v>
      </c>
      <c r="J29" s="81">
        <f t="shared" si="19"/>
        <v>22439.040000000001</v>
      </c>
    </row>
    <row r="30" spans="1:10" ht="31.5" x14ac:dyDescent="0.25">
      <c r="A30" s="70" t="s">
        <v>153</v>
      </c>
      <c r="B30" s="71" t="s">
        <v>250</v>
      </c>
      <c r="C30" s="72" t="s">
        <v>92</v>
      </c>
      <c r="D30" s="71" t="s">
        <v>233</v>
      </c>
      <c r="E30" s="71" t="s">
        <v>248</v>
      </c>
      <c r="F30" s="93">
        <f>'MEMORIA DE CALCULO'!I105</f>
        <v>186</v>
      </c>
      <c r="G30" s="83">
        <v>153.25</v>
      </c>
      <c r="H30" s="80">
        <f t="shared" si="17"/>
        <v>198.23</v>
      </c>
      <c r="I30" s="80">
        <f t="shared" si="18"/>
        <v>28504.5</v>
      </c>
      <c r="J30" s="81">
        <f t="shared" si="19"/>
        <v>36870.78</v>
      </c>
    </row>
    <row r="31" spans="1:10" ht="31.5" x14ac:dyDescent="0.25">
      <c r="A31" s="70" t="s">
        <v>154</v>
      </c>
      <c r="B31" s="71" t="s">
        <v>251</v>
      </c>
      <c r="C31" s="72" t="s">
        <v>252</v>
      </c>
      <c r="D31" s="71" t="s">
        <v>233</v>
      </c>
      <c r="E31" s="71" t="s">
        <v>234</v>
      </c>
      <c r="F31" s="93">
        <f>'MEMORIA DE CALCULO'!I113</f>
        <v>55.24</v>
      </c>
      <c r="G31" s="83">
        <v>11.09</v>
      </c>
      <c r="H31" s="80">
        <f t="shared" si="17"/>
        <v>14.34</v>
      </c>
      <c r="I31" s="80">
        <f t="shared" si="18"/>
        <v>612.61</v>
      </c>
      <c r="J31" s="81">
        <f t="shared" si="19"/>
        <v>792.14</v>
      </c>
    </row>
    <row r="32" spans="1:10" ht="31.5" x14ac:dyDescent="0.25">
      <c r="A32" s="70" t="s">
        <v>155</v>
      </c>
      <c r="B32" s="71" t="s">
        <v>253</v>
      </c>
      <c r="C32" s="72" t="s">
        <v>254</v>
      </c>
      <c r="D32" s="71" t="s">
        <v>233</v>
      </c>
      <c r="E32" s="71" t="s">
        <v>245</v>
      </c>
      <c r="F32" s="93">
        <f>'MEMORIA DE CALCULO'!I121</f>
        <v>2.76</v>
      </c>
      <c r="G32" s="83">
        <v>936.74</v>
      </c>
      <c r="H32" s="80">
        <f t="shared" si="17"/>
        <v>1211.67</v>
      </c>
      <c r="I32" s="80">
        <f t="shared" si="18"/>
        <v>2585.4</v>
      </c>
      <c r="J32" s="81">
        <f t="shared" si="19"/>
        <v>3344.21</v>
      </c>
    </row>
    <row r="33" spans="1:10" ht="15.75" x14ac:dyDescent="0.25">
      <c r="A33" s="70" t="s">
        <v>320</v>
      </c>
      <c r="B33" s="71" t="s">
        <v>256</v>
      </c>
      <c r="C33" s="72" t="s">
        <v>94</v>
      </c>
      <c r="D33" s="71" t="s">
        <v>233</v>
      </c>
      <c r="E33" s="71" t="s">
        <v>255</v>
      </c>
      <c r="F33" s="93">
        <f>'MEMORIA DE CALCULO'!I128</f>
        <v>115.7</v>
      </c>
      <c r="G33" s="83">
        <v>8.65</v>
      </c>
      <c r="H33" s="80">
        <f t="shared" si="17"/>
        <v>11.19</v>
      </c>
      <c r="I33" s="80">
        <f t="shared" si="18"/>
        <v>1000.81</v>
      </c>
      <c r="J33" s="81">
        <f t="shared" si="19"/>
        <v>1294.68</v>
      </c>
    </row>
    <row r="34" spans="1:10" ht="15.75" x14ac:dyDescent="0.25">
      <c r="A34" s="70" t="s">
        <v>156</v>
      </c>
      <c r="B34" s="71" t="s">
        <v>258</v>
      </c>
      <c r="C34" s="72" t="s">
        <v>96</v>
      </c>
      <c r="D34" s="71" t="s">
        <v>233</v>
      </c>
      <c r="E34" s="71" t="s">
        <v>255</v>
      </c>
      <c r="F34" s="93">
        <f>'MEMORIA DE CALCULO'!I134</f>
        <v>196.69</v>
      </c>
      <c r="G34" s="83">
        <v>7.72</v>
      </c>
      <c r="H34" s="80">
        <f t="shared" si="17"/>
        <v>9.99</v>
      </c>
      <c r="I34" s="80">
        <f t="shared" si="18"/>
        <v>1518.45</v>
      </c>
      <c r="J34" s="81">
        <f t="shared" si="19"/>
        <v>1964.93</v>
      </c>
    </row>
    <row r="35" spans="1:10" ht="15.75" x14ac:dyDescent="0.25">
      <c r="A35" s="70" t="s">
        <v>321</v>
      </c>
      <c r="B35" s="71" t="s">
        <v>259</v>
      </c>
      <c r="C35" s="72" t="s">
        <v>97</v>
      </c>
      <c r="D35" s="71" t="s">
        <v>233</v>
      </c>
      <c r="E35" s="71" t="s">
        <v>255</v>
      </c>
      <c r="F35" s="93">
        <f>'MEMORIA DE CALCULO'!I140</f>
        <v>1366.5</v>
      </c>
      <c r="G35" s="83">
        <v>6.6</v>
      </c>
      <c r="H35" s="80">
        <f t="shared" si="17"/>
        <v>8.5399999999999991</v>
      </c>
      <c r="I35" s="80">
        <f t="shared" si="18"/>
        <v>9018.9</v>
      </c>
      <c r="J35" s="81">
        <f t="shared" si="19"/>
        <v>11669.91</v>
      </c>
    </row>
    <row r="36" spans="1:10" ht="15.75" x14ac:dyDescent="0.25">
      <c r="A36" s="70" t="s">
        <v>157</v>
      </c>
      <c r="B36" s="71" t="s">
        <v>260</v>
      </c>
      <c r="C36" s="72" t="s">
        <v>98</v>
      </c>
      <c r="D36" s="71" t="s">
        <v>233</v>
      </c>
      <c r="E36" s="71" t="s">
        <v>255</v>
      </c>
      <c r="F36" s="93">
        <f>'MEMORIA DE CALCULO'!I146</f>
        <v>441.03</v>
      </c>
      <c r="G36" s="83">
        <v>6.5</v>
      </c>
      <c r="H36" s="80">
        <f t="shared" si="17"/>
        <v>8.41</v>
      </c>
      <c r="I36" s="80">
        <f t="shared" si="18"/>
        <v>2866.7</v>
      </c>
      <c r="J36" s="81">
        <f t="shared" si="19"/>
        <v>3709.06</v>
      </c>
    </row>
    <row r="37" spans="1:10" ht="31.5" x14ac:dyDescent="0.25">
      <c r="A37" s="70" t="s">
        <v>158</v>
      </c>
      <c r="B37" s="71" t="s">
        <v>261</v>
      </c>
      <c r="C37" s="72" t="s">
        <v>99</v>
      </c>
      <c r="D37" s="71" t="s">
        <v>233</v>
      </c>
      <c r="E37" s="71" t="s">
        <v>234</v>
      </c>
      <c r="F37" s="93">
        <f>'MEMORIA DE CALCULO'!I154</f>
        <v>23.96</v>
      </c>
      <c r="G37" s="83">
        <v>82.01</v>
      </c>
      <c r="H37" s="80">
        <f t="shared" si="17"/>
        <v>106.08</v>
      </c>
      <c r="I37" s="80">
        <f t="shared" si="18"/>
        <v>1964.96</v>
      </c>
      <c r="J37" s="81">
        <f t="shared" si="19"/>
        <v>2541.6799999999998</v>
      </c>
    </row>
    <row r="38" spans="1:10" s="68" customFormat="1" ht="47.25" x14ac:dyDescent="0.25">
      <c r="A38" s="70" t="s">
        <v>159</v>
      </c>
      <c r="B38" s="71" t="s">
        <v>323</v>
      </c>
      <c r="C38" s="72" t="s">
        <v>322</v>
      </c>
      <c r="D38" s="71" t="s">
        <v>233</v>
      </c>
      <c r="E38" s="71" t="s">
        <v>245</v>
      </c>
      <c r="F38" s="93">
        <f>'MEMORIA DE CALCULO'!I162</f>
        <v>29.67</v>
      </c>
      <c r="G38" s="83">
        <v>816.03</v>
      </c>
      <c r="H38" s="80">
        <f t="shared" si="17"/>
        <v>1055.53</v>
      </c>
      <c r="I38" s="80">
        <f t="shared" si="18"/>
        <v>24211.61</v>
      </c>
      <c r="J38" s="81">
        <f t="shared" si="19"/>
        <v>31317.58</v>
      </c>
    </row>
    <row r="39" spans="1:10" ht="15.75" x14ac:dyDescent="0.25">
      <c r="A39" s="70" t="s">
        <v>160</v>
      </c>
      <c r="B39" s="71" t="s">
        <v>262</v>
      </c>
      <c r="C39" s="72" t="s">
        <v>263</v>
      </c>
      <c r="D39" s="71" t="s">
        <v>233</v>
      </c>
      <c r="E39" s="71" t="s">
        <v>245</v>
      </c>
      <c r="F39" s="93">
        <f>'MEMORIA DE CALCULO'!I168</f>
        <v>6.83</v>
      </c>
      <c r="G39" s="83">
        <v>23.61</v>
      </c>
      <c r="H39" s="80">
        <f t="shared" si="17"/>
        <v>30.54</v>
      </c>
      <c r="I39" s="80">
        <f t="shared" si="18"/>
        <v>161.26</v>
      </c>
      <c r="J39" s="81">
        <f t="shared" si="19"/>
        <v>208.59</v>
      </c>
    </row>
    <row r="40" spans="1:10" ht="15.75" x14ac:dyDescent="0.25">
      <c r="A40" s="69" t="s">
        <v>72</v>
      </c>
      <c r="B40" s="186" t="s">
        <v>264</v>
      </c>
      <c r="C40" s="186"/>
      <c r="D40" s="186"/>
      <c r="E40" s="186"/>
      <c r="F40" s="186"/>
      <c r="G40" s="186"/>
      <c r="H40" s="186"/>
      <c r="I40" s="79">
        <f>ROUND(SUM(I41:I47),2)</f>
        <v>107582.2</v>
      </c>
      <c r="J40" s="82">
        <f>ROUND(SUM(J41:J47),2)</f>
        <v>139170.57999999999</v>
      </c>
    </row>
    <row r="41" spans="1:10" ht="15.75" x14ac:dyDescent="0.25">
      <c r="A41" s="70" t="s">
        <v>161</v>
      </c>
      <c r="B41" s="71" t="s">
        <v>256</v>
      </c>
      <c r="C41" s="72" t="s">
        <v>94</v>
      </c>
      <c r="D41" s="71" t="s">
        <v>233</v>
      </c>
      <c r="E41" s="71" t="s">
        <v>255</v>
      </c>
      <c r="F41" s="93">
        <f>'MEMORIA DE CALCULO'!I175</f>
        <v>578.66999999999996</v>
      </c>
      <c r="G41" s="83">
        <v>8.65</v>
      </c>
      <c r="H41" s="80">
        <f t="shared" ref="H41:H47" si="20">ROUND(SUM(G41*(1+$J$6)),2)</f>
        <v>11.19</v>
      </c>
      <c r="I41" s="80">
        <f t="shared" ref="I41:I47" si="21">ROUND(SUM(F41*G41),2)</f>
        <v>5005.5</v>
      </c>
      <c r="J41" s="81">
        <f t="shared" ref="J41:J47" si="22">ROUND(SUM(F41*H41),2)</f>
        <v>6475.32</v>
      </c>
    </row>
    <row r="42" spans="1:10" ht="15.75" x14ac:dyDescent="0.25">
      <c r="A42" s="70" t="s">
        <v>162</v>
      </c>
      <c r="B42" s="71" t="s">
        <v>257</v>
      </c>
      <c r="C42" s="72" t="s">
        <v>95</v>
      </c>
      <c r="D42" s="71" t="s">
        <v>233</v>
      </c>
      <c r="E42" s="71" t="s">
        <v>255</v>
      </c>
      <c r="F42" s="93">
        <f>'MEMORIA DE CALCULO'!I181</f>
        <v>1709.84</v>
      </c>
      <c r="G42" s="83">
        <v>8.44</v>
      </c>
      <c r="H42" s="80">
        <f t="shared" si="20"/>
        <v>10.92</v>
      </c>
      <c r="I42" s="80">
        <f t="shared" si="21"/>
        <v>14431.05</v>
      </c>
      <c r="J42" s="81">
        <f t="shared" si="22"/>
        <v>18671.45</v>
      </c>
    </row>
    <row r="43" spans="1:10" ht="15.75" x14ac:dyDescent="0.25">
      <c r="A43" s="70" t="s">
        <v>163</v>
      </c>
      <c r="B43" s="71" t="s">
        <v>258</v>
      </c>
      <c r="C43" s="72" t="s">
        <v>96</v>
      </c>
      <c r="D43" s="71" t="s">
        <v>233</v>
      </c>
      <c r="E43" s="71" t="s">
        <v>255</v>
      </c>
      <c r="F43" s="93">
        <f>'MEMORIA DE CALCULO'!I187</f>
        <v>862.63</v>
      </c>
      <c r="G43" s="83">
        <v>7.72</v>
      </c>
      <c r="H43" s="80">
        <f t="shared" si="20"/>
        <v>9.99</v>
      </c>
      <c r="I43" s="80">
        <f t="shared" si="21"/>
        <v>6659.5</v>
      </c>
      <c r="J43" s="81">
        <f t="shared" si="22"/>
        <v>8617.67</v>
      </c>
    </row>
    <row r="44" spans="1:10" ht="15.75" x14ac:dyDescent="0.25">
      <c r="A44" s="70" t="s">
        <v>164</v>
      </c>
      <c r="B44" s="71" t="s">
        <v>260</v>
      </c>
      <c r="C44" s="72" t="s">
        <v>98</v>
      </c>
      <c r="D44" s="71" t="s">
        <v>233</v>
      </c>
      <c r="E44" s="71" t="s">
        <v>255</v>
      </c>
      <c r="F44" s="93">
        <f>'MEMORIA DE CALCULO'!I194</f>
        <v>1469.87</v>
      </c>
      <c r="G44" s="83">
        <v>6.5</v>
      </c>
      <c r="H44" s="80">
        <f t="shared" si="20"/>
        <v>8.41</v>
      </c>
      <c r="I44" s="80">
        <f t="shared" si="21"/>
        <v>9554.16</v>
      </c>
      <c r="J44" s="81">
        <f t="shared" si="22"/>
        <v>12361.61</v>
      </c>
    </row>
    <row r="45" spans="1:10" ht="31.5" x14ac:dyDescent="0.25">
      <c r="A45" s="70" t="s">
        <v>165</v>
      </c>
      <c r="B45" s="71" t="s">
        <v>265</v>
      </c>
      <c r="C45" s="72" t="s">
        <v>266</v>
      </c>
      <c r="D45" s="71" t="s">
        <v>316</v>
      </c>
      <c r="E45" s="71" t="s">
        <v>242</v>
      </c>
      <c r="F45" s="93">
        <f>'MEMORIA DE CALCULO'!I202</f>
        <v>59.34</v>
      </c>
      <c r="G45" s="83">
        <v>69.8</v>
      </c>
      <c r="H45" s="80">
        <f t="shared" si="20"/>
        <v>90.29</v>
      </c>
      <c r="I45" s="80">
        <f t="shared" si="21"/>
        <v>4141.93</v>
      </c>
      <c r="J45" s="81">
        <f t="shared" si="22"/>
        <v>5357.81</v>
      </c>
    </row>
    <row r="46" spans="1:10" ht="47.25" x14ac:dyDescent="0.25">
      <c r="A46" s="70" t="s">
        <v>166</v>
      </c>
      <c r="B46" s="71" t="s">
        <v>267</v>
      </c>
      <c r="C46" s="72" t="s">
        <v>102</v>
      </c>
      <c r="D46" s="71" t="s">
        <v>233</v>
      </c>
      <c r="E46" s="71" t="s">
        <v>234</v>
      </c>
      <c r="F46" s="93">
        <f>'MEMORIA DE CALCULO'!I208</f>
        <v>102.45</v>
      </c>
      <c r="G46" s="83">
        <v>42.49</v>
      </c>
      <c r="H46" s="80">
        <f t="shared" si="20"/>
        <v>54.96</v>
      </c>
      <c r="I46" s="80">
        <f t="shared" si="21"/>
        <v>4353.1000000000004</v>
      </c>
      <c r="J46" s="81">
        <f t="shared" si="22"/>
        <v>5630.65</v>
      </c>
    </row>
    <row r="47" spans="1:10" ht="31.5" x14ac:dyDescent="0.25">
      <c r="A47" s="70" t="s">
        <v>167</v>
      </c>
      <c r="B47" s="71" t="s">
        <v>325</v>
      </c>
      <c r="C47" s="72" t="s">
        <v>324</v>
      </c>
      <c r="D47" s="71" t="s">
        <v>316</v>
      </c>
      <c r="E47" s="71" t="s">
        <v>269</v>
      </c>
      <c r="F47" s="93">
        <f>'MEMORIA DE CALCULO'!I216</f>
        <v>74.31</v>
      </c>
      <c r="G47" s="83">
        <v>853.68</v>
      </c>
      <c r="H47" s="80">
        <f t="shared" si="20"/>
        <v>1104.24</v>
      </c>
      <c r="I47" s="80">
        <f t="shared" si="21"/>
        <v>63436.959999999999</v>
      </c>
      <c r="J47" s="81">
        <f t="shared" si="22"/>
        <v>82056.070000000007</v>
      </c>
    </row>
    <row r="48" spans="1:10" ht="15.75" x14ac:dyDescent="0.25">
      <c r="A48" s="69" t="s">
        <v>119</v>
      </c>
      <c r="B48" s="186" t="s">
        <v>47</v>
      </c>
      <c r="C48" s="186"/>
      <c r="D48" s="186"/>
      <c r="E48" s="186"/>
      <c r="F48" s="186"/>
      <c r="G48" s="186"/>
      <c r="H48" s="186"/>
      <c r="I48" s="79">
        <f>ROUND(SUM(I49:I54),2)</f>
        <v>16511.939999999999</v>
      </c>
      <c r="J48" s="82">
        <f>ROUND(SUM(J49:J54),2)</f>
        <v>21358.04</v>
      </c>
    </row>
    <row r="49" spans="1:10" ht="47.25" x14ac:dyDescent="0.25">
      <c r="A49" s="70" t="s">
        <v>120</v>
      </c>
      <c r="B49" s="71" t="s">
        <v>270</v>
      </c>
      <c r="C49" s="72" t="s">
        <v>110</v>
      </c>
      <c r="D49" s="71" t="s">
        <v>316</v>
      </c>
      <c r="E49" s="71" t="s">
        <v>271</v>
      </c>
      <c r="F49" s="93">
        <f>'MEMORIA DE CALCULO'!I226</f>
        <v>305.62</v>
      </c>
      <c r="G49" s="83">
        <v>15.23</v>
      </c>
      <c r="H49" s="80">
        <f t="shared" ref="H49:H54" si="23">ROUND(SUM(G49*(1+$J$6)),2)</f>
        <v>19.7</v>
      </c>
      <c r="I49" s="80">
        <f t="shared" ref="I49:I54" si="24">ROUND(SUM(F49*G49),2)</f>
        <v>4654.59</v>
      </c>
      <c r="J49" s="81">
        <f t="shared" ref="J49" si="25">ROUND(SUM(F49*H49),2)</f>
        <v>6020.71</v>
      </c>
    </row>
    <row r="50" spans="1:10" ht="47.25" x14ac:dyDescent="0.25">
      <c r="A50" s="70" t="s">
        <v>121</v>
      </c>
      <c r="B50" s="71" t="s">
        <v>272</v>
      </c>
      <c r="C50" s="72" t="s">
        <v>273</v>
      </c>
      <c r="D50" s="71" t="s">
        <v>316</v>
      </c>
      <c r="E50" s="71" t="s">
        <v>235</v>
      </c>
      <c r="F50" s="93">
        <f>'MEMORIA DE CALCULO'!I232</f>
        <v>1</v>
      </c>
      <c r="G50" s="83">
        <v>905.52</v>
      </c>
      <c r="H50" s="80">
        <f t="shared" si="23"/>
        <v>1171.29</v>
      </c>
      <c r="I50" s="80">
        <f t="shared" si="24"/>
        <v>905.52</v>
      </c>
      <c r="J50" s="81">
        <f t="shared" ref="J50:J54" si="26">ROUND(SUM(F50*H50),2)</f>
        <v>1171.29</v>
      </c>
    </row>
    <row r="51" spans="1:10" ht="31.5" x14ac:dyDescent="0.25">
      <c r="A51" s="70" t="s">
        <v>122</v>
      </c>
      <c r="B51" s="71" t="s">
        <v>274</v>
      </c>
      <c r="C51" s="72" t="s">
        <v>113</v>
      </c>
      <c r="D51" s="71" t="s">
        <v>316</v>
      </c>
      <c r="E51" s="71" t="s">
        <v>275</v>
      </c>
      <c r="F51" s="93">
        <f>'MEMORIA DE CALCULO'!I241</f>
        <v>94.69</v>
      </c>
      <c r="G51" s="83">
        <v>0.7</v>
      </c>
      <c r="H51" s="80">
        <f t="shared" si="23"/>
        <v>0.91</v>
      </c>
      <c r="I51" s="80">
        <f t="shared" si="24"/>
        <v>66.28</v>
      </c>
      <c r="J51" s="81">
        <f t="shared" si="26"/>
        <v>86.17</v>
      </c>
    </row>
    <row r="52" spans="1:10" ht="47.25" x14ac:dyDescent="0.25">
      <c r="A52" s="70" t="s">
        <v>123</v>
      </c>
      <c r="B52" s="71" t="s">
        <v>276</v>
      </c>
      <c r="C52" s="72" t="s">
        <v>118</v>
      </c>
      <c r="D52" s="71" t="s">
        <v>316</v>
      </c>
      <c r="E52" s="71" t="s">
        <v>235</v>
      </c>
      <c r="F52" s="93">
        <f>'MEMORIA DE CALCULO'!I247</f>
        <v>1</v>
      </c>
      <c r="G52" s="83">
        <v>1182.31</v>
      </c>
      <c r="H52" s="80">
        <f t="shared" si="23"/>
        <v>1529.32</v>
      </c>
      <c r="I52" s="80">
        <f t="shared" si="24"/>
        <v>1182.31</v>
      </c>
      <c r="J52" s="81">
        <f t="shared" si="26"/>
        <v>1529.32</v>
      </c>
    </row>
    <row r="53" spans="1:10" ht="31.5" x14ac:dyDescent="0.25">
      <c r="A53" s="70" t="s">
        <v>124</v>
      </c>
      <c r="B53" s="71" t="s">
        <v>277</v>
      </c>
      <c r="C53" s="72" t="s">
        <v>112</v>
      </c>
      <c r="D53" s="71" t="s">
        <v>316</v>
      </c>
      <c r="E53" s="71" t="s">
        <v>271</v>
      </c>
      <c r="F53" s="93">
        <f>'MEMORIA DE CALCULO'!I253</f>
        <v>4013.5</v>
      </c>
      <c r="G53" s="83">
        <v>1.67</v>
      </c>
      <c r="H53" s="80">
        <f t="shared" si="23"/>
        <v>2.16</v>
      </c>
      <c r="I53" s="80">
        <f t="shared" si="24"/>
        <v>6702.55</v>
      </c>
      <c r="J53" s="81">
        <f t="shared" si="26"/>
        <v>8669.16</v>
      </c>
    </row>
    <row r="54" spans="1:10" ht="31.5" x14ac:dyDescent="0.25">
      <c r="A54" s="70" t="s">
        <v>125</v>
      </c>
      <c r="B54" s="71" t="s">
        <v>278</v>
      </c>
      <c r="C54" s="72" t="s">
        <v>111</v>
      </c>
      <c r="D54" s="71" t="s">
        <v>279</v>
      </c>
      <c r="E54" s="71" t="s">
        <v>280</v>
      </c>
      <c r="F54" s="93">
        <f>'MEMORIA DE CALCULO'!I259</f>
        <v>19.8</v>
      </c>
      <c r="G54" s="83">
        <v>151.55000000000001</v>
      </c>
      <c r="H54" s="80">
        <f t="shared" si="23"/>
        <v>196.03</v>
      </c>
      <c r="I54" s="80">
        <f t="shared" si="24"/>
        <v>3000.69</v>
      </c>
      <c r="J54" s="81">
        <f t="shared" si="26"/>
        <v>3881.39</v>
      </c>
    </row>
    <row r="55" spans="1:10" ht="15.75" x14ac:dyDescent="0.25">
      <c r="A55" s="69" t="s">
        <v>131</v>
      </c>
      <c r="B55" s="186" t="s">
        <v>58</v>
      </c>
      <c r="C55" s="186"/>
      <c r="D55" s="186"/>
      <c r="E55" s="186"/>
      <c r="F55" s="186"/>
      <c r="G55" s="186"/>
      <c r="H55" s="186"/>
      <c r="I55" s="79">
        <f>ROUND(SUM(I56:I64),2)</f>
        <v>61339.6</v>
      </c>
      <c r="J55" s="82">
        <f>ROUND(SUM(J56:J64),2)</f>
        <v>79355.44</v>
      </c>
    </row>
    <row r="56" spans="1:10" ht="31.5" x14ac:dyDescent="0.25">
      <c r="A56" s="70" t="s">
        <v>132</v>
      </c>
      <c r="B56" s="71" t="s">
        <v>281</v>
      </c>
      <c r="C56" s="72" t="s">
        <v>126</v>
      </c>
      <c r="D56" s="71" t="s">
        <v>233</v>
      </c>
      <c r="E56" s="71" t="s">
        <v>234</v>
      </c>
      <c r="F56" s="93">
        <f>'MEMORIA DE CALCULO'!I268</f>
        <v>112.56</v>
      </c>
      <c r="G56" s="83">
        <v>34.74</v>
      </c>
      <c r="H56" s="80">
        <f t="shared" ref="H56:H64" si="27">ROUND(SUM(G56*(1+$J$6)),2)</f>
        <v>44.94</v>
      </c>
      <c r="I56" s="80">
        <f t="shared" ref="I56:I64" si="28">ROUND(SUM(F56*G56),2)</f>
        <v>3910.33</v>
      </c>
      <c r="J56" s="81">
        <f t="shared" ref="J56" si="29">ROUND(SUM(F56*H56),2)</f>
        <v>5058.45</v>
      </c>
    </row>
    <row r="57" spans="1:10" ht="31.5" x14ac:dyDescent="0.25">
      <c r="A57" s="70" t="s">
        <v>133</v>
      </c>
      <c r="B57" s="71" t="s">
        <v>282</v>
      </c>
      <c r="C57" s="72" t="s">
        <v>127</v>
      </c>
      <c r="D57" s="71" t="s">
        <v>316</v>
      </c>
      <c r="E57" s="71" t="s">
        <v>242</v>
      </c>
      <c r="F57" s="93">
        <f>'MEMORIA DE CALCULO'!I275</f>
        <v>87.08</v>
      </c>
      <c r="G57" s="83">
        <v>79.680000000000007</v>
      </c>
      <c r="H57" s="80">
        <f t="shared" si="27"/>
        <v>103.07</v>
      </c>
      <c r="I57" s="80">
        <f t="shared" si="28"/>
        <v>6938.53</v>
      </c>
      <c r="J57" s="81">
        <f t="shared" ref="J57:J64" si="30">ROUND(SUM(F57*H57),2)</f>
        <v>8975.34</v>
      </c>
    </row>
    <row r="58" spans="1:10" ht="31.5" x14ac:dyDescent="0.25">
      <c r="A58" s="70" t="s">
        <v>134</v>
      </c>
      <c r="B58" s="71" t="s">
        <v>283</v>
      </c>
      <c r="C58" s="72" t="s">
        <v>128</v>
      </c>
      <c r="D58" s="71" t="s">
        <v>316</v>
      </c>
      <c r="E58" s="71" t="s">
        <v>238</v>
      </c>
      <c r="F58" s="93">
        <f>'MEMORIA DE CALCULO'!I281</f>
        <v>7</v>
      </c>
      <c r="G58" s="83">
        <v>38.78</v>
      </c>
      <c r="H58" s="80">
        <f t="shared" si="27"/>
        <v>50.16</v>
      </c>
      <c r="I58" s="80">
        <f t="shared" si="28"/>
        <v>271.45999999999998</v>
      </c>
      <c r="J58" s="81">
        <f t="shared" si="30"/>
        <v>351.12</v>
      </c>
    </row>
    <row r="59" spans="1:10" ht="31.5" x14ac:dyDescent="0.25">
      <c r="A59" s="70" t="s">
        <v>135</v>
      </c>
      <c r="B59" s="71" t="s">
        <v>284</v>
      </c>
      <c r="C59" s="72" t="s">
        <v>129</v>
      </c>
      <c r="D59" s="71" t="s">
        <v>233</v>
      </c>
      <c r="E59" s="71" t="s">
        <v>245</v>
      </c>
      <c r="F59" s="93">
        <f>'MEMORIA DE CALCULO'!I287</f>
        <v>100.8</v>
      </c>
      <c r="G59" s="83">
        <v>18.78</v>
      </c>
      <c r="H59" s="80">
        <f t="shared" si="27"/>
        <v>24.29</v>
      </c>
      <c r="I59" s="80">
        <f t="shared" si="28"/>
        <v>1893.02</v>
      </c>
      <c r="J59" s="81">
        <f t="shared" si="30"/>
        <v>2448.4299999999998</v>
      </c>
    </row>
    <row r="60" spans="1:10" ht="15.75" x14ac:dyDescent="0.25">
      <c r="A60" s="70" t="s">
        <v>136</v>
      </c>
      <c r="B60" s="71" t="s">
        <v>256</v>
      </c>
      <c r="C60" s="72" t="s">
        <v>94</v>
      </c>
      <c r="D60" s="71" t="s">
        <v>233</v>
      </c>
      <c r="E60" s="71" t="s">
        <v>255</v>
      </c>
      <c r="F60" s="93">
        <f>'MEMORIA DE CALCULO'!I293</f>
        <v>155.22999999999999</v>
      </c>
      <c r="G60" s="83">
        <v>8.65</v>
      </c>
      <c r="H60" s="80">
        <f t="shared" si="27"/>
        <v>11.19</v>
      </c>
      <c r="I60" s="80">
        <f t="shared" si="28"/>
        <v>1342.74</v>
      </c>
      <c r="J60" s="81">
        <f t="shared" si="30"/>
        <v>1737.02</v>
      </c>
    </row>
    <row r="61" spans="1:10" ht="15.75" x14ac:dyDescent="0.25">
      <c r="A61" s="70" t="s">
        <v>137</v>
      </c>
      <c r="B61" s="71" t="s">
        <v>257</v>
      </c>
      <c r="C61" s="72" t="s">
        <v>95</v>
      </c>
      <c r="D61" s="71" t="s">
        <v>233</v>
      </c>
      <c r="E61" s="71" t="s">
        <v>255</v>
      </c>
      <c r="F61" s="93">
        <f>'MEMORIA DE CALCULO'!I299</f>
        <v>361.5</v>
      </c>
      <c r="G61" s="83">
        <v>8.44</v>
      </c>
      <c r="H61" s="80">
        <f t="shared" si="27"/>
        <v>10.92</v>
      </c>
      <c r="I61" s="80">
        <f t="shared" si="28"/>
        <v>3051.06</v>
      </c>
      <c r="J61" s="81">
        <f t="shared" si="30"/>
        <v>3947.58</v>
      </c>
    </row>
    <row r="62" spans="1:10" ht="15.75" x14ac:dyDescent="0.25">
      <c r="A62" s="70" t="s">
        <v>138</v>
      </c>
      <c r="B62" s="71" t="s">
        <v>258</v>
      </c>
      <c r="C62" s="72" t="s">
        <v>96</v>
      </c>
      <c r="D62" s="71" t="s">
        <v>233</v>
      </c>
      <c r="E62" s="71" t="s">
        <v>255</v>
      </c>
      <c r="F62" s="93">
        <f>'MEMORIA DE CALCULO'!I306</f>
        <v>2149.91</v>
      </c>
      <c r="G62" s="83">
        <v>7.72</v>
      </c>
      <c r="H62" s="80">
        <f t="shared" si="27"/>
        <v>9.99</v>
      </c>
      <c r="I62" s="80">
        <f t="shared" si="28"/>
        <v>16597.310000000001</v>
      </c>
      <c r="J62" s="81">
        <f t="shared" si="30"/>
        <v>21477.599999999999</v>
      </c>
    </row>
    <row r="63" spans="1:10" ht="15.75" x14ac:dyDescent="0.25">
      <c r="A63" s="70" t="s">
        <v>139</v>
      </c>
      <c r="B63" s="71" t="s">
        <v>259</v>
      </c>
      <c r="C63" s="72" t="s">
        <v>97</v>
      </c>
      <c r="D63" s="71" t="s">
        <v>233</v>
      </c>
      <c r="E63" s="71" t="s">
        <v>255</v>
      </c>
      <c r="F63" s="93">
        <f>'MEMORIA DE CALCULO'!I312</f>
        <v>677.95</v>
      </c>
      <c r="G63" s="83">
        <v>6.6</v>
      </c>
      <c r="H63" s="80">
        <f t="shared" si="27"/>
        <v>8.5399999999999991</v>
      </c>
      <c r="I63" s="80">
        <f t="shared" si="28"/>
        <v>4474.47</v>
      </c>
      <c r="J63" s="81">
        <f t="shared" si="30"/>
        <v>5789.69</v>
      </c>
    </row>
    <row r="64" spans="1:10" ht="31.5" x14ac:dyDescent="0.25">
      <c r="A64" s="70" t="s">
        <v>140</v>
      </c>
      <c r="B64" s="71" t="s">
        <v>268</v>
      </c>
      <c r="C64" s="72" t="s">
        <v>169</v>
      </c>
      <c r="D64" s="71" t="s">
        <v>316</v>
      </c>
      <c r="E64" s="71" t="s">
        <v>269</v>
      </c>
      <c r="F64" s="93">
        <f>'MEMORIA DE CALCULO'!I319</f>
        <v>29.33</v>
      </c>
      <c r="G64" s="83">
        <v>779.43</v>
      </c>
      <c r="H64" s="80">
        <f t="shared" si="27"/>
        <v>1008.19</v>
      </c>
      <c r="I64" s="80">
        <f t="shared" si="28"/>
        <v>22860.68</v>
      </c>
      <c r="J64" s="81">
        <f t="shared" si="30"/>
        <v>29570.21</v>
      </c>
    </row>
    <row r="65" spans="1:12" ht="15.75" x14ac:dyDescent="0.25">
      <c r="A65" s="109" t="s">
        <v>148</v>
      </c>
      <c r="B65" s="189" t="s">
        <v>285</v>
      </c>
      <c r="C65" s="189"/>
      <c r="D65" s="189"/>
      <c r="E65" s="189"/>
      <c r="F65" s="189"/>
      <c r="G65" s="189"/>
      <c r="H65" s="189"/>
      <c r="I65" s="110">
        <f>ROUND(SUM(I66:I68),2)</f>
        <v>3081.31</v>
      </c>
      <c r="J65" s="111">
        <f>ROUND(SUM(J66:J68),2)</f>
        <v>3985.78</v>
      </c>
    </row>
    <row r="66" spans="1:12" ht="31.5" x14ac:dyDescent="0.25">
      <c r="A66" s="113" t="s">
        <v>149</v>
      </c>
      <c r="B66" s="114" t="s">
        <v>286</v>
      </c>
      <c r="C66" s="113" t="s">
        <v>287</v>
      </c>
      <c r="D66" s="114" t="s">
        <v>316</v>
      </c>
      <c r="E66" s="114" t="s">
        <v>242</v>
      </c>
      <c r="F66" s="115">
        <f>'MEMORIA DE CALCULO'!I326</f>
        <v>43.2</v>
      </c>
      <c r="G66" s="116">
        <v>13.62</v>
      </c>
      <c r="H66" s="117">
        <f t="shared" ref="H66:H68" si="31">ROUND(SUM(G66*(1+$J$6)),2)</f>
        <v>17.62</v>
      </c>
      <c r="I66" s="117">
        <f t="shared" ref="I66:I68" si="32">ROUND(SUM(F66*G66),2)</f>
        <v>588.38</v>
      </c>
      <c r="J66" s="117">
        <f t="shared" ref="J66:J68" si="33">ROUND(SUM(F66*H66),2)</f>
        <v>761.18</v>
      </c>
    </row>
    <row r="67" spans="1:12" ht="31.5" x14ac:dyDescent="0.25">
      <c r="A67" s="113" t="s">
        <v>288</v>
      </c>
      <c r="B67" s="114" t="s">
        <v>289</v>
      </c>
      <c r="C67" s="113" t="s">
        <v>290</v>
      </c>
      <c r="D67" s="114" t="s">
        <v>316</v>
      </c>
      <c r="E67" s="114" t="s">
        <v>235</v>
      </c>
      <c r="F67" s="115">
        <v>1</v>
      </c>
      <c r="G67" s="116">
        <v>1272.95</v>
      </c>
      <c r="H67" s="117">
        <f t="shared" si="31"/>
        <v>1646.56</v>
      </c>
      <c r="I67" s="117">
        <f t="shared" si="32"/>
        <v>1272.95</v>
      </c>
      <c r="J67" s="117">
        <f t="shared" si="33"/>
        <v>1646.56</v>
      </c>
    </row>
    <row r="68" spans="1:12" s="68" customFormat="1" ht="15.75" x14ac:dyDescent="0.25">
      <c r="A68" s="113" t="s">
        <v>346</v>
      </c>
      <c r="B68" s="114">
        <v>34723</v>
      </c>
      <c r="C68" s="113" t="s">
        <v>175</v>
      </c>
      <c r="D68" s="114" t="s">
        <v>242</v>
      </c>
      <c r="E68" s="114" t="s">
        <v>242</v>
      </c>
      <c r="F68" s="115">
        <f>'MEMORIA DE CALCULO'!I338</f>
        <v>1.69</v>
      </c>
      <c r="G68" s="116">
        <v>721.88</v>
      </c>
      <c r="H68" s="117">
        <f t="shared" si="31"/>
        <v>933.75</v>
      </c>
      <c r="I68" s="117">
        <f t="shared" si="32"/>
        <v>1219.98</v>
      </c>
      <c r="J68" s="117">
        <f t="shared" si="33"/>
        <v>1578.04</v>
      </c>
    </row>
    <row r="69" spans="1:12" ht="15.75" x14ac:dyDescent="0.25">
      <c r="A69" s="73"/>
      <c r="B69" s="74"/>
      <c r="C69" s="74"/>
      <c r="D69" s="74"/>
      <c r="E69" s="74"/>
      <c r="F69" s="74"/>
      <c r="G69" s="74"/>
      <c r="H69" s="187" t="s">
        <v>291</v>
      </c>
      <c r="I69" s="187"/>
      <c r="J69" s="112">
        <f>J71-J70</f>
        <v>99046.659999999974</v>
      </c>
    </row>
    <row r="70" spans="1:12" ht="15.75" x14ac:dyDescent="0.25">
      <c r="A70" s="73"/>
      <c r="B70" s="74"/>
      <c r="C70" s="74"/>
      <c r="D70" s="74"/>
      <c r="E70" s="74"/>
      <c r="F70" s="74"/>
      <c r="G70" s="74"/>
      <c r="H70" s="188" t="s">
        <v>292</v>
      </c>
      <c r="I70" s="188"/>
      <c r="J70" s="82">
        <f>I10</f>
        <v>337370.96</v>
      </c>
    </row>
    <row r="71" spans="1:12" ht="15.75" x14ac:dyDescent="0.25">
      <c r="A71" s="73"/>
      <c r="B71" s="74"/>
      <c r="C71" s="74"/>
      <c r="D71" s="74"/>
      <c r="E71" s="74"/>
      <c r="F71" s="74"/>
      <c r="G71" s="74"/>
      <c r="H71" s="188" t="s">
        <v>293</v>
      </c>
      <c r="I71" s="188"/>
      <c r="J71" s="99">
        <f>J10</f>
        <v>436417.62</v>
      </c>
      <c r="L71" s="97">
        <f>J71-J48</f>
        <v>415059.58</v>
      </c>
    </row>
    <row r="72" spans="1:12" ht="15.75" x14ac:dyDescent="0.25">
      <c r="A72" s="40"/>
      <c r="B72" s="41"/>
      <c r="C72" s="41"/>
      <c r="D72" s="41"/>
      <c r="E72" s="41"/>
      <c r="F72" s="41"/>
      <c r="G72" s="41"/>
      <c r="H72" s="41"/>
      <c r="I72" s="41"/>
      <c r="J72" s="42"/>
      <c r="L72">
        <v>357763.41</v>
      </c>
    </row>
    <row r="73" spans="1:12" s="68" customFormat="1" ht="15.75" x14ac:dyDescent="0.25">
      <c r="A73" s="40"/>
      <c r="B73" s="41"/>
      <c r="C73" s="41"/>
      <c r="D73" s="41"/>
      <c r="E73" s="41"/>
      <c r="F73" s="41"/>
      <c r="G73" s="41"/>
      <c r="H73" s="41"/>
      <c r="I73" s="41"/>
      <c r="J73" s="42"/>
    </row>
    <row r="74" spans="1:12" s="68" customFormat="1" ht="15.75" x14ac:dyDescent="0.25">
      <c r="A74" s="40"/>
      <c r="B74" s="41"/>
      <c r="C74" s="41"/>
      <c r="D74" s="41"/>
      <c r="E74" s="41"/>
      <c r="F74" s="41"/>
      <c r="G74" s="41"/>
      <c r="H74" s="41"/>
      <c r="I74" s="41"/>
      <c r="J74" s="42"/>
    </row>
    <row r="75" spans="1:12" ht="15.75" x14ac:dyDescent="0.25">
      <c r="A75" s="40"/>
      <c r="B75" s="41"/>
      <c r="C75" s="41"/>
      <c r="D75" s="41"/>
      <c r="E75" s="41"/>
      <c r="F75" s="41"/>
      <c r="G75" s="41"/>
      <c r="H75" s="41"/>
      <c r="I75" s="41"/>
      <c r="J75" s="42"/>
      <c r="L75" s="97">
        <f>L71-L72</f>
        <v>57296.170000000042</v>
      </c>
    </row>
    <row r="76" spans="1:12" ht="15.75" x14ac:dyDescent="0.25">
      <c r="A76" s="40"/>
      <c r="B76" s="41"/>
      <c r="C76" s="100"/>
      <c r="D76" s="41"/>
      <c r="E76" s="41"/>
      <c r="F76" s="100"/>
      <c r="G76" s="100"/>
      <c r="H76" s="100"/>
      <c r="I76" s="100"/>
      <c r="J76" s="42"/>
    </row>
    <row r="77" spans="1:12" ht="15.75" x14ac:dyDescent="0.25">
      <c r="A77" s="40"/>
      <c r="B77" s="41"/>
      <c r="C77" s="88" t="s">
        <v>176</v>
      </c>
      <c r="D77" s="41"/>
      <c r="E77" s="41"/>
      <c r="F77" s="161" t="s">
        <v>326</v>
      </c>
      <c r="G77" s="161"/>
      <c r="H77" s="161"/>
      <c r="I77" s="161"/>
      <c r="J77" s="42"/>
    </row>
    <row r="78" spans="1:12" ht="15.75" x14ac:dyDescent="0.25">
      <c r="A78" s="40"/>
      <c r="B78" s="41"/>
      <c r="C78" s="88" t="s">
        <v>177</v>
      </c>
      <c r="D78" s="41"/>
      <c r="E78" s="41"/>
      <c r="F78" s="161" t="s">
        <v>327</v>
      </c>
      <c r="G78" s="161"/>
      <c r="H78" s="161"/>
      <c r="I78" s="161"/>
      <c r="J78" s="42"/>
    </row>
    <row r="79" spans="1:12" ht="16.5" thickBot="1" x14ac:dyDescent="0.3">
      <c r="A79" s="43"/>
      <c r="B79" s="44"/>
      <c r="C79" s="44"/>
      <c r="D79" s="44"/>
      <c r="E79" s="44"/>
      <c r="F79" s="44"/>
      <c r="G79" s="44"/>
      <c r="H79" s="44"/>
      <c r="I79" s="44"/>
      <c r="J79" s="45"/>
    </row>
  </sheetData>
  <mergeCells count="35">
    <mergeCell ref="B24:H24"/>
    <mergeCell ref="H69:I69"/>
    <mergeCell ref="H70:I70"/>
    <mergeCell ref="H71:I71"/>
    <mergeCell ref="B27:H27"/>
    <mergeCell ref="B40:H40"/>
    <mergeCell ref="B48:H48"/>
    <mergeCell ref="B55:H55"/>
    <mergeCell ref="B65:H65"/>
    <mergeCell ref="A4:F4"/>
    <mergeCell ref="B10:H10"/>
    <mergeCell ref="B11:H11"/>
    <mergeCell ref="B20:H20"/>
    <mergeCell ref="B22:H22"/>
    <mergeCell ref="B8:B9"/>
    <mergeCell ref="C8:C9"/>
    <mergeCell ref="D8:D9"/>
    <mergeCell ref="E8:E9"/>
    <mergeCell ref="F8:F9"/>
    <mergeCell ref="F77:I77"/>
    <mergeCell ref="F78:I78"/>
    <mergeCell ref="A1:J1"/>
    <mergeCell ref="A2:F2"/>
    <mergeCell ref="G2:H2"/>
    <mergeCell ref="I2:J2"/>
    <mergeCell ref="A3:F3"/>
    <mergeCell ref="G3:H3"/>
    <mergeCell ref="I3:J3"/>
    <mergeCell ref="G4:J4"/>
    <mergeCell ref="A5:F5"/>
    <mergeCell ref="A6:F6"/>
    <mergeCell ref="A7:J7"/>
    <mergeCell ref="A8:A9"/>
    <mergeCell ref="G8:H8"/>
    <mergeCell ref="I8:J8"/>
  </mergeCells>
  <phoneticPr fontId="5" type="noConversion"/>
  <pageMargins left="0.25" right="0.25" top="0.75" bottom="0.75" header="0.3" footer="0.3"/>
  <pageSetup paperSize="9" scale="61" fitToHeight="0" orientation="landscape" r:id="rId1"/>
  <rowBreaks count="2" manualBreakCount="2">
    <brk id="31" max="9" man="1"/>
    <brk id="62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83C-FBCB-4B65-AF02-4453E9FF08A5}">
  <sheetPr>
    <pageSetUpPr fitToPage="1"/>
  </sheetPr>
  <dimension ref="A1:M351"/>
  <sheetViews>
    <sheetView tabSelected="1" view="pageBreakPreview" topLeftCell="A326" zoomScale="80" zoomScaleNormal="100" zoomScaleSheetLayoutView="80" workbookViewId="0">
      <selection activeCell="I349" sqref="I349"/>
    </sheetView>
  </sheetViews>
  <sheetFormatPr defaultRowHeight="15" x14ac:dyDescent="0.25"/>
  <cols>
    <col min="1" max="2" width="28.7109375" customWidth="1"/>
    <col min="3" max="3" width="45.42578125" customWidth="1"/>
    <col min="4" max="9" width="25.140625" customWidth="1"/>
    <col min="10" max="10" width="49.85546875" customWidth="1"/>
  </cols>
  <sheetData>
    <row r="1" spans="1:10" x14ac:dyDescent="0.25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4"/>
    </row>
    <row r="2" spans="1:10" x14ac:dyDescent="0.25">
      <c r="A2" s="245"/>
      <c r="B2" s="246"/>
      <c r="C2" s="246"/>
      <c r="D2" s="246"/>
      <c r="E2" s="246"/>
      <c r="F2" s="246"/>
      <c r="G2" s="246"/>
      <c r="H2" s="246"/>
      <c r="I2" s="246"/>
      <c r="J2" s="247"/>
    </row>
    <row r="3" spans="1:10" ht="18.75" x14ac:dyDescent="0.25">
      <c r="A3" s="53" t="s">
        <v>1</v>
      </c>
      <c r="B3" s="248" t="s">
        <v>333</v>
      </c>
      <c r="C3" s="249"/>
      <c r="D3" s="249"/>
      <c r="E3" s="249"/>
      <c r="F3" s="249"/>
      <c r="G3" s="249"/>
      <c r="H3" s="249"/>
      <c r="I3" s="249"/>
      <c r="J3" s="250"/>
    </row>
    <row r="4" spans="1:10" ht="18.75" x14ac:dyDescent="0.25">
      <c r="A4" s="54" t="s">
        <v>2</v>
      </c>
      <c r="B4" s="248" t="s">
        <v>334</v>
      </c>
      <c r="C4" s="249"/>
      <c r="D4" s="249"/>
      <c r="E4" s="249"/>
      <c r="F4" s="249"/>
      <c r="G4" s="249"/>
      <c r="H4" s="249"/>
      <c r="I4" s="249"/>
      <c r="J4" s="250"/>
    </row>
    <row r="5" spans="1:10" ht="15.75" x14ac:dyDescent="0.25">
      <c r="A5" s="251"/>
      <c r="B5" s="252"/>
      <c r="C5" s="252"/>
      <c r="D5" s="252"/>
      <c r="E5" s="252"/>
      <c r="F5" s="252"/>
      <c r="G5" s="252"/>
      <c r="H5" s="252"/>
      <c r="I5" s="252"/>
      <c r="J5" s="253"/>
    </row>
    <row r="6" spans="1:10" ht="15.75" x14ac:dyDescent="0.25">
      <c r="A6" s="254" t="s">
        <v>348</v>
      </c>
      <c r="B6" s="255"/>
      <c r="C6" s="255"/>
      <c r="D6" s="255"/>
      <c r="E6" s="255"/>
      <c r="F6" s="255"/>
      <c r="G6" s="255"/>
      <c r="H6" s="255"/>
      <c r="I6" s="255"/>
      <c r="J6" s="256"/>
    </row>
    <row r="7" spans="1:10" ht="15.75" x14ac:dyDescent="0.25">
      <c r="A7" s="1" t="s">
        <v>5</v>
      </c>
      <c r="B7" s="233" t="s">
        <v>3</v>
      </c>
      <c r="C7" s="233"/>
      <c r="D7" s="233"/>
      <c r="E7" s="233"/>
      <c r="F7" s="233"/>
      <c r="G7" s="233"/>
      <c r="H7" s="233"/>
      <c r="I7" s="233"/>
      <c r="J7" s="234"/>
    </row>
    <row r="8" spans="1:10" ht="15.75" x14ac:dyDescent="0.25">
      <c r="A8" s="5" t="s">
        <v>4</v>
      </c>
      <c r="B8" s="229" t="s">
        <v>81</v>
      </c>
      <c r="C8" s="199"/>
      <c r="D8" s="201" t="s">
        <v>67</v>
      </c>
      <c r="E8" s="202"/>
      <c r="F8" s="202"/>
      <c r="G8" s="202"/>
      <c r="H8" s="202"/>
      <c r="I8" s="202"/>
      <c r="J8" s="203"/>
    </row>
    <row r="9" spans="1:10" ht="15.75" x14ac:dyDescent="0.25">
      <c r="A9" s="5" t="s">
        <v>6</v>
      </c>
      <c r="B9" s="200"/>
      <c r="C9" s="200"/>
      <c r="D9" s="204"/>
      <c r="E9" s="205"/>
      <c r="F9" s="205"/>
      <c r="G9" s="205"/>
      <c r="H9" s="205"/>
      <c r="I9" s="205"/>
      <c r="J9" s="206"/>
    </row>
    <row r="10" spans="1:10" ht="15.75" x14ac:dyDescent="0.25">
      <c r="A10" s="216" t="s">
        <v>7</v>
      </c>
      <c r="B10" s="217"/>
      <c r="C10" s="49"/>
      <c r="D10" s="6" t="s">
        <v>8</v>
      </c>
      <c r="E10" s="49" t="s">
        <v>9</v>
      </c>
      <c r="F10" s="49"/>
      <c r="G10" s="49"/>
      <c r="H10" s="49" t="s">
        <v>10</v>
      </c>
      <c r="I10" s="7" t="s">
        <v>29</v>
      </c>
      <c r="J10" s="8" t="s">
        <v>78</v>
      </c>
    </row>
    <row r="11" spans="1:10" ht="15.75" x14ac:dyDescent="0.25">
      <c r="A11" s="190"/>
      <c r="B11" s="191"/>
      <c r="C11" s="9"/>
      <c r="D11" s="10">
        <v>3</v>
      </c>
      <c r="E11" s="11">
        <v>1.5</v>
      </c>
      <c r="F11" s="11"/>
      <c r="G11" s="11"/>
      <c r="H11" s="11">
        <v>1</v>
      </c>
      <c r="I11" s="12">
        <f>ROUND(SUM(D11*E11*H11),2)</f>
        <v>4.5</v>
      </c>
      <c r="J11" s="225"/>
    </row>
    <row r="12" spans="1:10" ht="15.75" x14ac:dyDescent="0.25">
      <c r="A12" s="193" t="s">
        <v>12</v>
      </c>
      <c r="B12" s="194"/>
      <c r="C12" s="194"/>
      <c r="D12" s="194"/>
      <c r="E12" s="194"/>
      <c r="F12" s="194"/>
      <c r="G12" s="194"/>
      <c r="H12" s="195"/>
      <c r="I12" s="13">
        <f>I11</f>
        <v>4.5</v>
      </c>
      <c r="J12" s="219"/>
    </row>
    <row r="13" spans="1:10" ht="15.75" x14ac:dyDescent="0.25">
      <c r="A13" s="2"/>
      <c r="B13" s="3"/>
      <c r="C13" s="3"/>
      <c r="D13" s="3"/>
      <c r="E13" s="3"/>
      <c r="F13" s="3"/>
      <c r="G13" s="3"/>
      <c r="H13" s="3"/>
      <c r="I13" s="3"/>
      <c r="J13" s="4"/>
    </row>
    <row r="14" spans="1:10" ht="15.75" x14ac:dyDescent="0.25">
      <c r="A14" s="5" t="s">
        <v>4</v>
      </c>
      <c r="B14" s="229" t="s">
        <v>82</v>
      </c>
      <c r="C14" s="199"/>
      <c r="D14" s="201" t="s">
        <v>68</v>
      </c>
      <c r="E14" s="202"/>
      <c r="F14" s="202"/>
      <c r="G14" s="202"/>
      <c r="H14" s="202"/>
      <c r="I14" s="202"/>
      <c r="J14" s="203"/>
    </row>
    <row r="15" spans="1:10" ht="15.75" x14ac:dyDescent="0.25">
      <c r="A15" s="5" t="s">
        <v>6</v>
      </c>
      <c r="B15" s="200"/>
      <c r="C15" s="200"/>
      <c r="D15" s="204"/>
      <c r="E15" s="205"/>
      <c r="F15" s="205"/>
      <c r="G15" s="205"/>
      <c r="H15" s="205"/>
      <c r="I15" s="205"/>
      <c r="J15" s="206"/>
    </row>
    <row r="16" spans="1:10" ht="15.75" x14ac:dyDescent="0.25">
      <c r="A16" s="216" t="s">
        <v>7</v>
      </c>
      <c r="B16" s="217"/>
      <c r="C16" s="49" t="s">
        <v>7</v>
      </c>
      <c r="D16" s="6" t="s">
        <v>8</v>
      </c>
      <c r="E16" s="86" t="s">
        <v>9</v>
      </c>
      <c r="F16" s="86"/>
      <c r="G16" s="86"/>
      <c r="H16" s="86" t="s">
        <v>10</v>
      </c>
      <c r="I16" s="7" t="s">
        <v>29</v>
      </c>
      <c r="J16" s="8" t="s">
        <v>78</v>
      </c>
    </row>
    <row r="17" spans="1:10" ht="15.75" x14ac:dyDescent="0.25">
      <c r="A17" s="190"/>
      <c r="B17" s="191"/>
      <c r="C17" s="9"/>
      <c r="D17" s="10">
        <v>4</v>
      </c>
      <c r="E17" s="11">
        <v>2</v>
      </c>
      <c r="F17" s="11"/>
      <c r="G17" s="11"/>
      <c r="H17" s="11">
        <v>1</v>
      </c>
      <c r="I17" s="12">
        <f>ROUND(SUM(D17*E17*H17),2)</f>
        <v>8</v>
      </c>
      <c r="J17" s="225"/>
    </row>
    <row r="18" spans="1:10" ht="15.75" x14ac:dyDescent="0.25">
      <c r="A18" s="193" t="s">
        <v>12</v>
      </c>
      <c r="B18" s="194"/>
      <c r="C18" s="194"/>
      <c r="D18" s="194"/>
      <c r="E18" s="194"/>
      <c r="F18" s="194"/>
      <c r="G18" s="194"/>
      <c r="H18" s="195"/>
      <c r="I18" s="13">
        <f>I17</f>
        <v>8</v>
      </c>
      <c r="J18" s="219"/>
    </row>
    <row r="19" spans="1:10" ht="15.75" x14ac:dyDescent="0.25">
      <c r="A19" s="16"/>
      <c r="B19" s="17"/>
      <c r="C19" s="17"/>
      <c r="D19" s="17"/>
      <c r="E19" s="17"/>
      <c r="F19" s="17"/>
      <c r="G19" s="17"/>
      <c r="H19" s="17"/>
      <c r="I19" s="18"/>
      <c r="J19" s="19"/>
    </row>
    <row r="20" spans="1:10" ht="15.75" x14ac:dyDescent="0.25">
      <c r="A20" s="5" t="s">
        <v>4</v>
      </c>
      <c r="B20" s="229" t="s">
        <v>83</v>
      </c>
      <c r="C20" s="199"/>
      <c r="D20" s="201" t="str">
        <f>'PLANILHA ORÇAMENTÁRIA '!C14</f>
        <v>GERADOR PORTÁTIL MONOFÁSICO, POTÊNCIA 5500 VA, MOTOR A GASOLINA, POTÊNCIA DO MOTOR 13 CV - MATERIAIS NA OPERAÇÃO. AF_03/2016</v>
      </c>
      <c r="E20" s="202"/>
      <c r="F20" s="202"/>
      <c r="G20" s="202"/>
      <c r="H20" s="202"/>
      <c r="I20" s="202"/>
      <c r="J20" s="203"/>
    </row>
    <row r="21" spans="1:10" ht="15.75" x14ac:dyDescent="0.25">
      <c r="A21" s="5" t="s">
        <v>6</v>
      </c>
      <c r="B21" s="200"/>
      <c r="C21" s="200"/>
      <c r="D21" s="204"/>
      <c r="E21" s="205"/>
      <c r="F21" s="205"/>
      <c r="G21" s="205"/>
      <c r="H21" s="205"/>
      <c r="I21" s="205"/>
      <c r="J21" s="206"/>
    </row>
    <row r="22" spans="1:10" ht="15.75" x14ac:dyDescent="0.25">
      <c r="A22" s="216" t="s">
        <v>7</v>
      </c>
      <c r="B22" s="217"/>
      <c r="C22" s="49" t="s">
        <v>7</v>
      </c>
      <c r="D22" s="6" t="s">
        <v>341</v>
      </c>
      <c r="E22" s="49"/>
      <c r="F22" s="49"/>
      <c r="G22" s="49"/>
      <c r="H22" s="49" t="s">
        <v>10</v>
      </c>
      <c r="I22" s="7" t="s">
        <v>342</v>
      </c>
      <c r="J22" s="8" t="s">
        <v>78</v>
      </c>
    </row>
    <row r="23" spans="1:10" ht="15.75" x14ac:dyDescent="0.25">
      <c r="A23" s="190"/>
      <c r="B23" s="191"/>
      <c r="C23" s="9"/>
      <c r="D23" s="15">
        <f>8*24*2</f>
        <v>384</v>
      </c>
      <c r="E23" s="49"/>
      <c r="F23" s="49"/>
      <c r="G23" s="49"/>
      <c r="H23" s="11">
        <v>1</v>
      </c>
      <c r="I23" s="12">
        <f>ROUND(SUM(D23*H23),2)</f>
        <v>384</v>
      </c>
      <c r="J23" s="225"/>
    </row>
    <row r="24" spans="1:10" ht="15.75" x14ac:dyDescent="0.25">
      <c r="A24" s="193" t="s">
        <v>12</v>
      </c>
      <c r="B24" s="194"/>
      <c r="C24" s="194"/>
      <c r="D24" s="194"/>
      <c r="E24" s="194"/>
      <c r="F24" s="194"/>
      <c r="G24" s="194"/>
      <c r="H24" s="195"/>
      <c r="I24" s="13">
        <f>I23</f>
        <v>384</v>
      </c>
      <c r="J24" s="219"/>
    </row>
    <row r="25" spans="1:10" ht="15.75" x14ac:dyDescent="0.25">
      <c r="A25" s="2"/>
      <c r="B25" s="3"/>
      <c r="C25" s="3"/>
      <c r="D25" s="3"/>
      <c r="E25" s="3"/>
      <c r="F25" s="3"/>
      <c r="G25" s="3"/>
      <c r="H25" s="3"/>
      <c r="I25" s="3"/>
      <c r="J25" s="4"/>
    </row>
    <row r="26" spans="1:10" ht="15.75" x14ac:dyDescent="0.25">
      <c r="A26" s="5" t="s">
        <v>4</v>
      </c>
      <c r="B26" s="229" t="s">
        <v>84</v>
      </c>
      <c r="C26" s="199"/>
      <c r="D26" s="201" t="s">
        <v>69</v>
      </c>
      <c r="E26" s="202"/>
      <c r="F26" s="202"/>
      <c r="G26" s="202"/>
      <c r="H26" s="202"/>
      <c r="I26" s="202"/>
      <c r="J26" s="203"/>
    </row>
    <row r="27" spans="1:10" ht="15.75" x14ac:dyDescent="0.25">
      <c r="A27" s="5" t="s">
        <v>6</v>
      </c>
      <c r="B27" s="200"/>
      <c r="C27" s="200"/>
      <c r="D27" s="204"/>
      <c r="E27" s="205"/>
      <c r="F27" s="205"/>
      <c r="G27" s="205"/>
      <c r="H27" s="205"/>
      <c r="I27" s="205"/>
      <c r="J27" s="206"/>
    </row>
    <row r="28" spans="1:10" ht="15.75" x14ac:dyDescent="0.25">
      <c r="A28" s="216" t="s">
        <v>7</v>
      </c>
      <c r="B28" s="217"/>
      <c r="C28" s="49" t="s">
        <v>7</v>
      </c>
      <c r="D28" s="6" t="s">
        <v>8</v>
      </c>
      <c r="E28" s="49" t="s">
        <v>75</v>
      </c>
      <c r="F28" s="49"/>
      <c r="G28" s="49"/>
      <c r="H28" s="49" t="s">
        <v>10</v>
      </c>
      <c r="I28" s="7" t="s">
        <v>76</v>
      </c>
      <c r="J28" s="8" t="s">
        <v>78</v>
      </c>
    </row>
    <row r="29" spans="1:10" ht="36" customHeight="1" x14ac:dyDescent="0.25">
      <c r="A29" s="190"/>
      <c r="B29" s="191"/>
      <c r="C29" s="9"/>
      <c r="D29" s="15">
        <v>8</v>
      </c>
      <c r="E29" s="32">
        <v>4</v>
      </c>
      <c r="F29" s="32"/>
      <c r="G29" s="32"/>
      <c r="H29" s="32">
        <v>1</v>
      </c>
      <c r="I29" s="12">
        <f>ROUND(SUM(D29*E29*H29),2)</f>
        <v>32</v>
      </c>
      <c r="J29" s="225"/>
    </row>
    <row r="30" spans="1:10" ht="15.75" x14ac:dyDescent="0.25">
      <c r="A30" s="193" t="s">
        <v>12</v>
      </c>
      <c r="B30" s="194"/>
      <c r="C30" s="194"/>
      <c r="D30" s="194"/>
      <c r="E30" s="194"/>
      <c r="F30" s="194"/>
      <c r="G30" s="194"/>
      <c r="H30" s="195"/>
      <c r="I30" s="13">
        <f>I29</f>
        <v>32</v>
      </c>
      <c r="J30" s="219"/>
    </row>
    <row r="31" spans="1:10" ht="15.75" x14ac:dyDescent="0.25">
      <c r="A31" s="2"/>
      <c r="B31" s="3"/>
      <c r="C31" s="3"/>
      <c r="D31" s="3"/>
      <c r="E31" s="3"/>
      <c r="F31" s="3"/>
      <c r="G31" s="3"/>
      <c r="H31" s="3"/>
      <c r="I31" s="3"/>
      <c r="J31" s="4"/>
    </row>
    <row r="32" spans="1:10" ht="15.75" x14ac:dyDescent="0.25">
      <c r="A32" s="5" t="s">
        <v>4</v>
      </c>
      <c r="B32" s="229" t="s">
        <v>85</v>
      </c>
      <c r="C32" s="199"/>
      <c r="D32" s="201" t="s">
        <v>70</v>
      </c>
      <c r="E32" s="202"/>
      <c r="F32" s="202"/>
      <c r="G32" s="202"/>
      <c r="H32" s="202"/>
      <c r="I32" s="202"/>
      <c r="J32" s="203"/>
    </row>
    <row r="33" spans="1:10" ht="15.75" x14ac:dyDescent="0.25">
      <c r="A33" s="5" t="s">
        <v>6</v>
      </c>
      <c r="B33" s="200"/>
      <c r="C33" s="200"/>
      <c r="D33" s="204"/>
      <c r="E33" s="205"/>
      <c r="F33" s="205"/>
      <c r="G33" s="205"/>
      <c r="H33" s="205"/>
      <c r="I33" s="205"/>
      <c r="J33" s="206"/>
    </row>
    <row r="34" spans="1:10" ht="15.75" x14ac:dyDescent="0.25">
      <c r="A34" s="216" t="s">
        <v>7</v>
      </c>
      <c r="B34" s="217"/>
      <c r="C34" s="49" t="s">
        <v>7</v>
      </c>
      <c r="D34" s="6" t="s">
        <v>73</v>
      </c>
      <c r="E34" s="49"/>
      <c r="F34" s="49"/>
      <c r="G34" s="49"/>
      <c r="H34" s="49" t="s">
        <v>10</v>
      </c>
      <c r="I34" s="7" t="s">
        <v>74</v>
      </c>
      <c r="J34" s="8" t="s">
        <v>78</v>
      </c>
    </row>
    <row r="35" spans="1:10" ht="15.75" x14ac:dyDescent="0.25">
      <c r="A35" s="190"/>
      <c r="B35" s="191"/>
      <c r="C35" s="9"/>
      <c r="D35" s="15">
        <v>1</v>
      </c>
      <c r="E35" s="49"/>
      <c r="F35" s="49"/>
      <c r="G35" s="49"/>
      <c r="H35" s="11">
        <v>1</v>
      </c>
      <c r="I35" s="12">
        <f>ROUND(SUM(D35*H35),2)</f>
        <v>1</v>
      </c>
      <c r="J35" s="225"/>
    </row>
    <row r="36" spans="1:10" ht="15.75" x14ac:dyDescent="0.25">
      <c r="A36" s="193" t="s">
        <v>12</v>
      </c>
      <c r="B36" s="194"/>
      <c r="C36" s="194"/>
      <c r="D36" s="194"/>
      <c r="E36" s="194"/>
      <c r="F36" s="194"/>
      <c r="G36" s="194"/>
      <c r="H36" s="195"/>
      <c r="I36" s="13">
        <f>I35</f>
        <v>1</v>
      </c>
      <c r="J36" s="219"/>
    </row>
    <row r="37" spans="1:10" ht="15.75" x14ac:dyDescent="0.25">
      <c r="A37" s="2"/>
      <c r="B37" s="3"/>
      <c r="C37" s="3"/>
      <c r="D37" s="3"/>
      <c r="E37" s="3"/>
      <c r="F37" s="3"/>
      <c r="G37" s="3"/>
      <c r="H37" s="3"/>
      <c r="I37" s="3"/>
      <c r="J37" s="4"/>
    </row>
    <row r="38" spans="1:10" ht="15.75" x14ac:dyDescent="0.25">
      <c r="A38" s="5" t="s">
        <v>4</v>
      </c>
      <c r="B38" s="229" t="s">
        <v>86</v>
      </c>
      <c r="C38" s="199"/>
      <c r="D38" s="201" t="s">
        <v>71</v>
      </c>
      <c r="E38" s="202"/>
      <c r="F38" s="202"/>
      <c r="G38" s="202"/>
      <c r="H38" s="202"/>
      <c r="I38" s="202"/>
      <c r="J38" s="203"/>
    </row>
    <row r="39" spans="1:10" ht="15.75" x14ac:dyDescent="0.25">
      <c r="A39" s="5" t="s">
        <v>6</v>
      </c>
      <c r="B39" s="200"/>
      <c r="C39" s="200"/>
      <c r="D39" s="204"/>
      <c r="E39" s="205"/>
      <c r="F39" s="205"/>
      <c r="G39" s="205"/>
      <c r="H39" s="205"/>
      <c r="I39" s="205"/>
      <c r="J39" s="206"/>
    </row>
    <row r="40" spans="1:10" ht="15.75" x14ac:dyDescent="0.25">
      <c r="A40" s="216" t="s">
        <v>7</v>
      </c>
      <c r="B40" s="217"/>
      <c r="C40" s="49" t="s">
        <v>7</v>
      </c>
      <c r="D40" s="6" t="s">
        <v>8</v>
      </c>
      <c r="E40" s="49" t="s">
        <v>9</v>
      </c>
      <c r="F40" s="49"/>
      <c r="G40" s="49"/>
      <c r="H40" s="49" t="s">
        <v>10</v>
      </c>
      <c r="I40" s="7" t="s">
        <v>29</v>
      </c>
      <c r="J40" s="8" t="s">
        <v>78</v>
      </c>
    </row>
    <row r="41" spans="1:10" ht="15.75" x14ac:dyDescent="0.25">
      <c r="A41" s="190"/>
      <c r="B41" s="191"/>
      <c r="C41" s="9"/>
      <c r="D41" s="10">
        <v>10</v>
      </c>
      <c r="E41" s="11">
        <v>4</v>
      </c>
      <c r="F41" s="11"/>
      <c r="G41" s="11"/>
      <c r="H41" s="11">
        <v>2</v>
      </c>
      <c r="I41" s="12">
        <f>ROUND(SUM(D41*E41*H41),2)</f>
        <v>80</v>
      </c>
      <c r="J41" s="225"/>
    </row>
    <row r="42" spans="1:10" ht="15.75" x14ac:dyDescent="0.25">
      <c r="A42" s="193" t="s">
        <v>12</v>
      </c>
      <c r="B42" s="194"/>
      <c r="C42" s="194"/>
      <c r="D42" s="194"/>
      <c r="E42" s="194"/>
      <c r="F42" s="194"/>
      <c r="G42" s="194"/>
      <c r="H42" s="195"/>
      <c r="I42" s="13">
        <f>I41</f>
        <v>80</v>
      </c>
      <c r="J42" s="219"/>
    </row>
    <row r="43" spans="1:10" ht="15.75" x14ac:dyDescent="0.25">
      <c r="A43" s="2"/>
      <c r="B43" s="3"/>
      <c r="C43" s="3"/>
      <c r="D43" s="3"/>
      <c r="E43" s="3"/>
      <c r="F43" s="3"/>
      <c r="G43" s="3"/>
      <c r="H43" s="3"/>
      <c r="I43" s="3"/>
      <c r="J43" s="4"/>
    </row>
    <row r="44" spans="1:10" s="68" customFormat="1" ht="15.75" x14ac:dyDescent="0.25">
      <c r="A44" s="5" t="s">
        <v>4</v>
      </c>
      <c r="B44" s="229" t="s">
        <v>337</v>
      </c>
      <c r="C44" s="199"/>
      <c r="D44" s="201" t="str">
        <f>'PLANILHA ORÇAMENTÁRIA '!C18</f>
        <v>ENSACAMENTO DE AREIA. AF_01/2026</v>
      </c>
      <c r="E44" s="202"/>
      <c r="F44" s="202"/>
      <c r="G44" s="202"/>
      <c r="H44" s="202"/>
      <c r="I44" s="202"/>
      <c r="J44" s="203"/>
    </row>
    <row r="45" spans="1:10" s="68" customFormat="1" ht="15.75" x14ac:dyDescent="0.25">
      <c r="A45" s="5" t="s">
        <v>6</v>
      </c>
      <c r="B45" s="200"/>
      <c r="C45" s="200"/>
      <c r="D45" s="204"/>
      <c r="E45" s="205"/>
      <c r="F45" s="205"/>
      <c r="G45" s="205"/>
      <c r="H45" s="205"/>
      <c r="I45" s="205"/>
      <c r="J45" s="206"/>
    </row>
    <row r="46" spans="1:10" s="68" customFormat="1" ht="15.75" x14ac:dyDescent="0.25">
      <c r="A46" s="216" t="s">
        <v>7</v>
      </c>
      <c r="B46" s="217"/>
      <c r="C46" s="102" t="s">
        <v>7</v>
      </c>
      <c r="D46" s="6" t="s">
        <v>8</v>
      </c>
      <c r="E46" s="102" t="s">
        <v>9</v>
      </c>
      <c r="F46" s="102" t="s">
        <v>343</v>
      </c>
      <c r="G46" s="102"/>
      <c r="H46" s="102" t="s">
        <v>10</v>
      </c>
      <c r="I46" s="7" t="s">
        <v>46</v>
      </c>
      <c r="J46" s="8" t="s">
        <v>78</v>
      </c>
    </row>
    <row r="47" spans="1:10" s="68" customFormat="1" ht="15.75" x14ac:dyDescent="0.25">
      <c r="A47" s="190"/>
      <c r="B47" s="191"/>
      <c r="C47" s="9" t="s">
        <v>344</v>
      </c>
      <c r="D47" s="10">
        <f>6+6+4+4</f>
        <v>20</v>
      </c>
      <c r="E47" s="11">
        <v>1</v>
      </c>
      <c r="F47" s="11">
        <v>0.5</v>
      </c>
      <c r="G47" s="11"/>
      <c r="H47" s="11">
        <v>1</v>
      </c>
      <c r="I47" s="12">
        <f>ROUND(SUM(D47*E47*H47*F47),2)</f>
        <v>10</v>
      </c>
      <c r="J47" s="225"/>
    </row>
    <row r="48" spans="1:10" s="68" customFormat="1" ht="15.75" x14ac:dyDescent="0.25">
      <c r="A48" s="193" t="s">
        <v>12</v>
      </c>
      <c r="B48" s="194"/>
      <c r="C48" s="194"/>
      <c r="D48" s="194"/>
      <c r="E48" s="194"/>
      <c r="F48" s="194"/>
      <c r="G48" s="194"/>
      <c r="H48" s="195"/>
      <c r="I48" s="13">
        <f>I47</f>
        <v>10</v>
      </c>
      <c r="J48" s="219"/>
    </row>
    <row r="49" spans="1:10" s="68" customFormat="1" ht="15.75" x14ac:dyDescent="0.25">
      <c r="A49" s="2"/>
      <c r="B49" s="3"/>
      <c r="C49" s="3"/>
      <c r="D49" s="3"/>
      <c r="E49" s="3"/>
      <c r="F49" s="3"/>
      <c r="G49" s="3"/>
      <c r="H49" s="3"/>
      <c r="I49" s="3"/>
      <c r="J49" s="4"/>
    </row>
    <row r="50" spans="1:10" s="68" customFormat="1" ht="15.75" x14ac:dyDescent="0.25">
      <c r="A50" s="5" t="s">
        <v>4</v>
      </c>
      <c r="B50" s="229" t="s">
        <v>338</v>
      </c>
      <c r="C50" s="199"/>
      <c r="D50" s="201" t="str">
        <f>'PLANILHA ORÇAMENTÁRIA '!C19</f>
        <v>ESGOTAMENTO DE VALA COM BOMBA SUBMERSÍVEL. AF_12/2022</v>
      </c>
      <c r="E50" s="202"/>
      <c r="F50" s="202"/>
      <c r="G50" s="202"/>
      <c r="H50" s="202"/>
      <c r="I50" s="202"/>
      <c r="J50" s="203"/>
    </row>
    <row r="51" spans="1:10" s="68" customFormat="1" ht="15.75" x14ac:dyDescent="0.25">
      <c r="A51" s="5" t="s">
        <v>6</v>
      </c>
      <c r="B51" s="200"/>
      <c r="C51" s="200"/>
      <c r="D51" s="204"/>
      <c r="E51" s="205"/>
      <c r="F51" s="205"/>
      <c r="G51" s="205"/>
      <c r="H51" s="205"/>
      <c r="I51" s="205"/>
      <c r="J51" s="206"/>
    </row>
    <row r="52" spans="1:10" s="68" customFormat="1" ht="15.75" x14ac:dyDescent="0.25">
      <c r="A52" s="216" t="s">
        <v>7</v>
      </c>
      <c r="B52" s="217"/>
      <c r="C52" s="102" t="s">
        <v>7</v>
      </c>
      <c r="D52" s="6" t="s">
        <v>341</v>
      </c>
      <c r="E52" s="102"/>
      <c r="F52" s="102"/>
      <c r="G52" s="102"/>
      <c r="H52" s="102" t="s">
        <v>10</v>
      </c>
      <c r="I52" s="7" t="s">
        <v>342</v>
      </c>
      <c r="J52" s="8" t="s">
        <v>78</v>
      </c>
    </row>
    <row r="53" spans="1:10" s="68" customFormat="1" ht="15.75" x14ac:dyDescent="0.25">
      <c r="A53" s="190"/>
      <c r="B53" s="191"/>
      <c r="C53" s="9"/>
      <c r="D53" s="15">
        <f>40</f>
        <v>40</v>
      </c>
      <c r="E53" s="102"/>
      <c r="F53" s="102"/>
      <c r="G53" s="102"/>
      <c r="H53" s="11">
        <v>1</v>
      </c>
      <c r="I53" s="12">
        <f>ROUND(SUM(D53*H53),2)</f>
        <v>40</v>
      </c>
      <c r="J53" s="225"/>
    </row>
    <row r="54" spans="1:10" s="68" customFormat="1" ht="15.75" x14ac:dyDescent="0.25">
      <c r="A54" s="193" t="s">
        <v>12</v>
      </c>
      <c r="B54" s="194"/>
      <c r="C54" s="194"/>
      <c r="D54" s="194"/>
      <c r="E54" s="194"/>
      <c r="F54" s="194"/>
      <c r="G54" s="194"/>
      <c r="H54" s="195"/>
      <c r="I54" s="13">
        <f>I53</f>
        <v>40</v>
      </c>
      <c r="J54" s="219"/>
    </row>
    <row r="55" spans="1:10" s="68" customFormat="1" ht="15.75" x14ac:dyDescent="0.25">
      <c r="A55" s="2"/>
      <c r="B55" s="3"/>
      <c r="C55" s="3"/>
      <c r="D55" s="3"/>
      <c r="E55" s="3"/>
      <c r="F55" s="3"/>
      <c r="G55" s="3"/>
      <c r="H55" s="3"/>
      <c r="I55" s="3"/>
      <c r="J55" s="4"/>
    </row>
    <row r="56" spans="1:10" ht="15.75" x14ac:dyDescent="0.25">
      <c r="A56" s="1" t="s">
        <v>13</v>
      </c>
      <c r="B56" s="233" t="s">
        <v>16</v>
      </c>
      <c r="C56" s="233"/>
      <c r="D56" s="233"/>
      <c r="E56" s="233"/>
      <c r="F56" s="233"/>
      <c r="G56" s="233"/>
      <c r="H56" s="233"/>
      <c r="I56" s="233"/>
      <c r="J56" s="234"/>
    </row>
    <row r="57" spans="1:10" ht="15.75" x14ac:dyDescent="0.25">
      <c r="A57" s="5" t="s">
        <v>4</v>
      </c>
      <c r="B57" s="229" t="s">
        <v>88</v>
      </c>
      <c r="C57" s="229"/>
      <c r="D57" s="201" t="str">
        <f>'[1]Planilha Orcamentária'!C17</f>
        <v>MOBILIZAÇÃO E DESMOBILIZAÇÃO OBRA DISTANTE DE CENTRO URBANO COM VALOR ATÉ O VALOR DE 1.000.000,00</v>
      </c>
      <c r="E57" s="202"/>
      <c r="F57" s="202"/>
      <c r="G57" s="202"/>
      <c r="H57" s="202"/>
      <c r="I57" s="202"/>
      <c r="J57" s="203"/>
    </row>
    <row r="58" spans="1:10" ht="15.75" x14ac:dyDescent="0.25">
      <c r="A58" s="5" t="s">
        <v>6</v>
      </c>
      <c r="B58" s="200"/>
      <c r="C58" s="200"/>
      <c r="D58" s="204"/>
      <c r="E58" s="205"/>
      <c r="F58" s="205"/>
      <c r="G58" s="205"/>
      <c r="H58" s="205"/>
      <c r="I58" s="205"/>
      <c r="J58" s="206"/>
    </row>
    <row r="59" spans="1:10" ht="15.75" x14ac:dyDescent="0.25">
      <c r="A59" s="216" t="s">
        <v>7</v>
      </c>
      <c r="B59" s="217"/>
      <c r="C59" s="49" t="s">
        <v>7</v>
      </c>
      <c r="D59" s="6" t="s">
        <v>17</v>
      </c>
      <c r="E59" s="49"/>
      <c r="F59" s="49"/>
      <c r="G59" s="49"/>
      <c r="H59" s="49"/>
      <c r="I59" s="7" t="s">
        <v>77</v>
      </c>
      <c r="J59" s="8" t="s">
        <v>78</v>
      </c>
    </row>
    <row r="60" spans="1:10" ht="15.75" x14ac:dyDescent="0.25">
      <c r="A60" s="190"/>
      <c r="B60" s="191"/>
      <c r="C60" s="9"/>
      <c r="D60" s="15">
        <v>2</v>
      </c>
      <c r="E60" s="49"/>
      <c r="F60" s="49"/>
      <c r="G60" s="49"/>
      <c r="H60" s="49"/>
      <c r="I60" s="12">
        <f>D60</f>
        <v>2</v>
      </c>
      <c r="J60" s="225"/>
    </row>
    <row r="61" spans="1:10" ht="15.75" x14ac:dyDescent="0.25">
      <c r="A61" s="193" t="s">
        <v>12</v>
      </c>
      <c r="B61" s="194"/>
      <c r="C61" s="194"/>
      <c r="D61" s="194"/>
      <c r="E61" s="194"/>
      <c r="F61" s="194"/>
      <c r="G61" s="194"/>
      <c r="H61" s="195"/>
      <c r="I61" s="13">
        <f>I60</f>
        <v>2</v>
      </c>
      <c r="J61" s="219"/>
    </row>
    <row r="62" spans="1:10" ht="15.75" x14ac:dyDescent="0.25">
      <c r="A62" s="2"/>
      <c r="B62" s="3"/>
      <c r="C62" s="3"/>
      <c r="D62" s="3"/>
      <c r="E62" s="3"/>
      <c r="F62" s="3"/>
      <c r="G62" s="3"/>
      <c r="H62" s="3"/>
      <c r="I62" s="3"/>
      <c r="J62" s="4"/>
    </row>
    <row r="63" spans="1:10" ht="15.75" x14ac:dyDescent="0.25">
      <c r="A63" s="1" t="s">
        <v>14</v>
      </c>
      <c r="B63" s="233" t="s">
        <v>18</v>
      </c>
      <c r="C63" s="233"/>
      <c r="D63" s="233"/>
      <c r="E63" s="233"/>
      <c r="F63" s="233"/>
      <c r="G63" s="233"/>
      <c r="H63" s="233"/>
      <c r="I63" s="233"/>
      <c r="J63" s="234"/>
    </row>
    <row r="64" spans="1:10" ht="15.75" x14ac:dyDescent="0.25">
      <c r="A64" s="5" t="s">
        <v>4</v>
      </c>
      <c r="B64" s="229" t="s">
        <v>89</v>
      </c>
      <c r="C64" s="229"/>
      <c r="D64" s="201" t="str">
        <f>'[1]Planilha Orcamentária'!C19</f>
        <v>ADMINISTRAÇÃO DE CANTEIRO DE OBRA</v>
      </c>
      <c r="E64" s="202"/>
      <c r="F64" s="202"/>
      <c r="G64" s="202"/>
      <c r="H64" s="202"/>
      <c r="I64" s="202"/>
      <c r="J64" s="203"/>
    </row>
    <row r="65" spans="1:10" ht="15.75" x14ac:dyDescent="0.25">
      <c r="A65" s="5" t="s">
        <v>6</v>
      </c>
      <c r="B65" s="200"/>
      <c r="C65" s="200"/>
      <c r="D65" s="204"/>
      <c r="E65" s="205"/>
      <c r="F65" s="205"/>
      <c r="G65" s="205"/>
      <c r="H65" s="205"/>
      <c r="I65" s="205"/>
      <c r="J65" s="206"/>
    </row>
    <row r="66" spans="1:10" ht="15.75" x14ac:dyDescent="0.25">
      <c r="A66" s="216" t="s">
        <v>7</v>
      </c>
      <c r="B66" s="217"/>
      <c r="C66" s="49" t="s">
        <v>7</v>
      </c>
      <c r="D66" s="6" t="s">
        <v>19</v>
      </c>
      <c r="E66" s="49"/>
      <c r="F66" s="49"/>
      <c r="G66" s="49"/>
      <c r="H66" s="49"/>
      <c r="I66" s="7" t="s">
        <v>317</v>
      </c>
      <c r="J66" s="8" t="s">
        <v>78</v>
      </c>
    </row>
    <row r="67" spans="1:10" ht="15.75" x14ac:dyDescent="0.25">
      <c r="A67" s="190"/>
      <c r="B67" s="191"/>
      <c r="C67" s="9"/>
      <c r="D67" s="15">
        <v>3</v>
      </c>
      <c r="E67" s="49"/>
      <c r="F67" s="49"/>
      <c r="G67" s="49"/>
      <c r="H67" s="49"/>
      <c r="I67" s="12">
        <f>D67</f>
        <v>3</v>
      </c>
      <c r="J67" s="225"/>
    </row>
    <row r="68" spans="1:10" ht="15.75" x14ac:dyDescent="0.25">
      <c r="A68" s="193" t="s">
        <v>12</v>
      </c>
      <c r="B68" s="194"/>
      <c r="C68" s="194"/>
      <c r="D68" s="194"/>
      <c r="E68" s="194"/>
      <c r="F68" s="194"/>
      <c r="G68" s="194"/>
      <c r="H68" s="195"/>
      <c r="I68" s="13">
        <f>I67</f>
        <v>3</v>
      </c>
      <c r="J68" s="219"/>
    </row>
    <row r="69" spans="1:10" ht="15.75" x14ac:dyDescent="0.25">
      <c r="A69" s="2"/>
      <c r="B69" s="3"/>
      <c r="C69" s="3"/>
      <c r="D69" s="3"/>
      <c r="E69" s="3"/>
      <c r="F69" s="3"/>
      <c r="G69" s="3"/>
      <c r="H69" s="3"/>
      <c r="I69" s="3"/>
      <c r="J69" s="4"/>
    </row>
    <row r="70" spans="1:10" ht="15.75" x14ac:dyDescent="0.25">
      <c r="A70" s="1" t="s">
        <v>15</v>
      </c>
      <c r="B70" s="233" t="s">
        <v>20</v>
      </c>
      <c r="C70" s="233"/>
      <c r="D70" s="233"/>
      <c r="E70" s="233"/>
      <c r="F70" s="233"/>
      <c r="G70" s="233"/>
      <c r="H70" s="233"/>
      <c r="I70" s="233"/>
      <c r="J70" s="234"/>
    </row>
    <row r="71" spans="1:10" ht="15.75" x14ac:dyDescent="0.25">
      <c r="A71" s="5" t="s">
        <v>4</v>
      </c>
      <c r="B71" s="229" t="s">
        <v>87</v>
      </c>
      <c r="C71" s="199"/>
      <c r="D71" s="201" t="s">
        <v>79</v>
      </c>
      <c r="E71" s="202"/>
      <c r="F71" s="202"/>
      <c r="G71" s="202"/>
      <c r="H71" s="202"/>
      <c r="I71" s="202"/>
      <c r="J71" s="203"/>
    </row>
    <row r="72" spans="1:10" ht="15.75" x14ac:dyDescent="0.25">
      <c r="A72" s="5" t="s">
        <v>6</v>
      </c>
      <c r="B72" s="200"/>
      <c r="C72" s="200"/>
      <c r="D72" s="204"/>
      <c r="E72" s="205"/>
      <c r="F72" s="205"/>
      <c r="G72" s="205"/>
      <c r="H72" s="205"/>
      <c r="I72" s="205"/>
      <c r="J72" s="206"/>
    </row>
    <row r="73" spans="1:10" ht="15.75" x14ac:dyDescent="0.25">
      <c r="A73" s="239" t="s">
        <v>7</v>
      </c>
      <c r="B73" s="167"/>
      <c r="C73" s="49" t="s">
        <v>7</v>
      </c>
      <c r="D73" s="20" t="s">
        <v>21</v>
      </c>
      <c r="E73" s="20" t="s">
        <v>22</v>
      </c>
      <c r="F73" s="21" t="s">
        <v>23</v>
      </c>
      <c r="G73" s="49" t="s">
        <v>24</v>
      </c>
      <c r="H73" s="49" t="s">
        <v>25</v>
      </c>
      <c r="I73" s="21" t="s">
        <v>26</v>
      </c>
      <c r="J73" s="8" t="s">
        <v>78</v>
      </c>
    </row>
    <row r="74" spans="1:10" ht="15.75" x14ac:dyDescent="0.25">
      <c r="A74" s="257" t="s">
        <v>172</v>
      </c>
      <c r="B74" s="258"/>
      <c r="C74" s="22"/>
      <c r="D74" s="23">
        <v>10.1</v>
      </c>
      <c r="E74" s="23">
        <v>4.5</v>
      </c>
      <c r="F74" s="11">
        <v>4</v>
      </c>
      <c r="G74" s="11">
        <v>1</v>
      </c>
      <c r="H74" s="11"/>
      <c r="I74" s="25">
        <f>ROUND(SUM(G74*D74*E74*F74),2)</f>
        <v>181.8</v>
      </c>
      <c r="J74" s="225"/>
    </row>
    <row r="75" spans="1:10" ht="15.75" x14ac:dyDescent="0.25">
      <c r="A75" s="257" t="s">
        <v>173</v>
      </c>
      <c r="B75" s="258"/>
      <c r="C75" s="22"/>
      <c r="D75" s="23">
        <v>10.1</v>
      </c>
      <c r="E75" s="23">
        <v>4.5</v>
      </c>
      <c r="F75" s="11">
        <v>4</v>
      </c>
      <c r="G75" s="11">
        <v>1</v>
      </c>
      <c r="H75" s="24"/>
      <c r="I75" s="25">
        <f>ROUND(SUM(G75*D75*E75*F75),2)</f>
        <v>181.8</v>
      </c>
      <c r="J75" s="218"/>
    </row>
    <row r="76" spans="1:10" ht="15.75" customHeight="1" x14ac:dyDescent="0.25">
      <c r="A76" s="193" t="s">
        <v>12</v>
      </c>
      <c r="B76" s="194"/>
      <c r="C76" s="194"/>
      <c r="D76" s="194"/>
      <c r="E76" s="194"/>
      <c r="F76" s="194"/>
      <c r="G76" s="194"/>
      <c r="H76" s="195"/>
      <c r="I76" s="13">
        <f>ROUND(SUM(I74:I75),2)</f>
        <v>363.6</v>
      </c>
      <c r="J76" s="219"/>
    </row>
    <row r="77" spans="1:10" ht="15.75" customHeight="1" x14ac:dyDescent="0.25">
      <c r="A77" s="16"/>
      <c r="B77" s="17"/>
      <c r="C77" s="17"/>
      <c r="D77" s="17"/>
      <c r="E77" s="17"/>
      <c r="F77" s="17"/>
      <c r="G77" s="17"/>
      <c r="H77" s="17"/>
      <c r="I77" s="18"/>
      <c r="J77" s="19"/>
    </row>
    <row r="78" spans="1:10" ht="15.75" customHeight="1" x14ac:dyDescent="0.25">
      <c r="A78" s="5" t="s">
        <v>4</v>
      </c>
      <c r="B78" s="229" t="s">
        <v>174</v>
      </c>
      <c r="C78" s="199"/>
      <c r="D78" s="201" t="s">
        <v>80</v>
      </c>
      <c r="E78" s="202"/>
      <c r="F78" s="202"/>
      <c r="G78" s="202"/>
      <c r="H78" s="202"/>
      <c r="I78" s="202"/>
      <c r="J78" s="203"/>
    </row>
    <row r="79" spans="1:10" ht="15.75" x14ac:dyDescent="0.25">
      <c r="A79" s="5" t="s">
        <v>6</v>
      </c>
      <c r="B79" s="200"/>
      <c r="C79" s="200"/>
      <c r="D79" s="204"/>
      <c r="E79" s="205"/>
      <c r="F79" s="205"/>
      <c r="G79" s="205"/>
      <c r="H79" s="205"/>
      <c r="I79" s="205"/>
      <c r="J79" s="206"/>
    </row>
    <row r="80" spans="1:10" ht="15.75" x14ac:dyDescent="0.25">
      <c r="A80" s="216" t="s">
        <v>7</v>
      </c>
      <c r="B80" s="217"/>
      <c r="C80" s="49" t="s">
        <v>7</v>
      </c>
      <c r="D80" s="20" t="s">
        <v>21</v>
      </c>
      <c r="E80" s="20" t="s">
        <v>22</v>
      </c>
      <c r="F80" s="21" t="s">
        <v>23</v>
      </c>
      <c r="G80" s="49" t="s">
        <v>24</v>
      </c>
      <c r="H80" s="49" t="s">
        <v>25</v>
      </c>
      <c r="I80" s="7" t="s">
        <v>26</v>
      </c>
      <c r="J80" s="8" t="s">
        <v>78</v>
      </c>
    </row>
    <row r="81" spans="1:10" ht="15.75" x14ac:dyDescent="0.25">
      <c r="A81" s="259" t="s">
        <v>318</v>
      </c>
      <c r="B81" s="260"/>
      <c r="C81" s="22"/>
      <c r="D81" s="23"/>
      <c r="E81" s="23"/>
      <c r="F81" s="24"/>
      <c r="G81" s="11">
        <f>G74</f>
        <v>1</v>
      </c>
      <c r="H81" s="11">
        <f>I76</f>
        <v>363.6</v>
      </c>
      <c r="I81" s="25">
        <f>ROUND(SUM(G81*H81),2)</f>
        <v>363.6</v>
      </c>
      <c r="J81" s="225"/>
    </row>
    <row r="82" spans="1:10" ht="15.75" x14ac:dyDescent="0.25">
      <c r="A82" s="193" t="s">
        <v>12</v>
      </c>
      <c r="B82" s="194"/>
      <c r="C82" s="194"/>
      <c r="D82" s="194"/>
      <c r="E82" s="194"/>
      <c r="F82" s="194"/>
      <c r="G82" s="194"/>
      <c r="H82" s="195"/>
      <c r="I82" s="13">
        <f>ROUND(SUM(I81:I81),2)</f>
        <v>363.6</v>
      </c>
      <c r="J82" s="219"/>
    </row>
    <row r="83" spans="1:10" ht="15.75" x14ac:dyDescent="0.25">
      <c r="A83" s="16"/>
      <c r="B83" s="17"/>
      <c r="C83" s="17"/>
      <c r="D83" s="17"/>
      <c r="E83" s="17"/>
      <c r="F83" s="17"/>
      <c r="G83" s="17"/>
      <c r="H83" s="17"/>
      <c r="I83" s="18"/>
      <c r="J83" s="19"/>
    </row>
    <row r="84" spans="1:10" ht="15.75" customHeight="1" x14ac:dyDescent="0.25">
      <c r="A84" s="1" t="s">
        <v>31</v>
      </c>
      <c r="B84" s="222" t="s">
        <v>30</v>
      </c>
      <c r="C84" s="223"/>
      <c r="D84" s="223"/>
      <c r="E84" s="223"/>
      <c r="F84" s="223"/>
      <c r="G84" s="223"/>
      <c r="H84" s="223"/>
      <c r="I84" s="223"/>
      <c r="J84" s="224"/>
    </row>
    <row r="85" spans="1:10" ht="15.75" customHeight="1" x14ac:dyDescent="0.25">
      <c r="A85" s="5" t="s">
        <v>4</v>
      </c>
      <c r="B85" s="229" t="s">
        <v>151</v>
      </c>
      <c r="C85" s="199"/>
      <c r="D85" s="201" t="s">
        <v>90</v>
      </c>
      <c r="E85" s="202"/>
      <c r="F85" s="202"/>
      <c r="G85" s="202"/>
      <c r="H85" s="202"/>
      <c r="I85" s="202"/>
      <c r="J85" s="203"/>
    </row>
    <row r="86" spans="1:10" ht="15.75" x14ac:dyDescent="0.25">
      <c r="A86" s="5" t="s">
        <v>6</v>
      </c>
      <c r="B86" s="200"/>
      <c r="C86" s="200"/>
      <c r="D86" s="204"/>
      <c r="E86" s="205"/>
      <c r="F86" s="205"/>
      <c r="G86" s="205"/>
      <c r="H86" s="205"/>
      <c r="I86" s="205"/>
      <c r="J86" s="206"/>
    </row>
    <row r="87" spans="1:10" ht="15.75" x14ac:dyDescent="0.25">
      <c r="A87" s="216" t="s">
        <v>7</v>
      </c>
      <c r="B87" s="217"/>
      <c r="C87" s="49" t="s">
        <v>7</v>
      </c>
      <c r="D87" s="6" t="s">
        <v>8</v>
      </c>
      <c r="E87" s="49" t="s">
        <v>143</v>
      </c>
      <c r="F87" s="49"/>
      <c r="G87" s="49"/>
      <c r="H87" s="49" t="s">
        <v>24</v>
      </c>
      <c r="I87" s="7" t="s">
        <v>32</v>
      </c>
      <c r="J87" s="8" t="s">
        <v>78</v>
      </c>
    </row>
    <row r="88" spans="1:10" ht="15.75" x14ac:dyDescent="0.25">
      <c r="A88" s="190" t="s">
        <v>104</v>
      </c>
      <c r="B88" s="235"/>
      <c r="C88" s="22" t="s">
        <v>178</v>
      </c>
      <c r="D88" s="26">
        <f>0.6*4</f>
        <v>2.4</v>
      </c>
      <c r="E88" s="11">
        <v>1</v>
      </c>
      <c r="F88" s="49"/>
      <c r="G88" s="49"/>
      <c r="H88" s="11">
        <v>3</v>
      </c>
      <c r="I88" s="25">
        <f xml:space="preserve"> ROUND(SUM(D88*E88*H88),2)</f>
        <v>7.2</v>
      </c>
      <c r="J88" s="225"/>
    </row>
    <row r="89" spans="1:10" ht="15.75" x14ac:dyDescent="0.25">
      <c r="A89" s="190" t="s">
        <v>104</v>
      </c>
      <c r="B89" s="235"/>
      <c r="C89" s="22" t="s">
        <v>179</v>
      </c>
      <c r="D89" s="26">
        <f>4.8*2+2.2*2</f>
        <v>14</v>
      </c>
      <c r="E89" s="11">
        <v>1</v>
      </c>
      <c r="F89" s="57"/>
      <c r="G89" s="57"/>
      <c r="H89" s="11">
        <v>3</v>
      </c>
      <c r="I89" s="25">
        <f t="shared" ref="I89:I90" si="0" xml:space="preserve"> ROUND(SUM(D89*E89*H89),2)</f>
        <v>42</v>
      </c>
      <c r="J89" s="218"/>
    </row>
    <row r="90" spans="1:10" ht="15.75" x14ac:dyDescent="0.25">
      <c r="A90" s="190" t="s">
        <v>105</v>
      </c>
      <c r="B90" s="235"/>
      <c r="C90" s="22" t="s">
        <v>180</v>
      </c>
      <c r="D90" s="26">
        <f>4.17*4+4.8*2+0.4*2</f>
        <v>27.080000000000002</v>
      </c>
      <c r="E90" s="11">
        <v>1</v>
      </c>
      <c r="F90" s="49"/>
      <c r="G90" s="49"/>
      <c r="H90" s="11">
        <v>2</v>
      </c>
      <c r="I90" s="25">
        <f t="shared" si="0"/>
        <v>54.16</v>
      </c>
      <c r="J90" s="218"/>
    </row>
    <row r="91" spans="1:10" ht="15.75" x14ac:dyDescent="0.25">
      <c r="A91" s="193" t="s">
        <v>12</v>
      </c>
      <c r="B91" s="194"/>
      <c r="C91" s="194"/>
      <c r="D91" s="194"/>
      <c r="E91" s="194"/>
      <c r="F91" s="194"/>
      <c r="G91" s="194"/>
      <c r="H91" s="195"/>
      <c r="I91" s="13">
        <f>ROUND(SUM(I88:I90),2)</f>
        <v>103.36</v>
      </c>
      <c r="J91" s="219"/>
    </row>
    <row r="92" spans="1:10" ht="15.75" x14ac:dyDescent="0.25">
      <c r="A92" s="2"/>
      <c r="B92" s="3"/>
      <c r="C92" s="3"/>
      <c r="D92" s="3"/>
      <c r="E92" s="3"/>
      <c r="F92" s="3"/>
      <c r="G92" s="3"/>
      <c r="H92" s="3"/>
      <c r="I92" s="3"/>
      <c r="J92" s="4"/>
    </row>
    <row r="93" spans="1:10" ht="15.75" x14ac:dyDescent="0.25">
      <c r="A93" s="5" t="s">
        <v>4</v>
      </c>
      <c r="B93" s="229" t="s">
        <v>152</v>
      </c>
      <c r="C93" s="199"/>
      <c r="D93" s="201" t="s">
        <v>91</v>
      </c>
      <c r="E93" s="202"/>
      <c r="F93" s="202"/>
      <c r="G93" s="202"/>
      <c r="H93" s="202"/>
      <c r="I93" s="202"/>
      <c r="J93" s="203"/>
    </row>
    <row r="94" spans="1:10" ht="15.75" x14ac:dyDescent="0.25">
      <c r="A94" s="5" t="s">
        <v>6</v>
      </c>
      <c r="B94" s="200"/>
      <c r="C94" s="200"/>
      <c r="D94" s="204"/>
      <c r="E94" s="205"/>
      <c r="F94" s="205"/>
      <c r="G94" s="205"/>
      <c r="H94" s="205"/>
      <c r="I94" s="205"/>
      <c r="J94" s="206"/>
    </row>
    <row r="95" spans="1:10" ht="31.5" x14ac:dyDescent="0.25">
      <c r="A95" s="216" t="s">
        <v>7</v>
      </c>
      <c r="B95" s="217"/>
      <c r="C95" s="49" t="s">
        <v>7</v>
      </c>
      <c r="D95" s="20" t="s">
        <v>33</v>
      </c>
      <c r="E95" s="6" t="s">
        <v>34</v>
      </c>
      <c r="F95" s="21" t="s">
        <v>35</v>
      </c>
      <c r="G95" s="49" t="s">
        <v>24</v>
      </c>
      <c r="H95" s="49"/>
      <c r="I95" s="7" t="s">
        <v>36</v>
      </c>
      <c r="J95" s="8" t="s">
        <v>78</v>
      </c>
    </row>
    <row r="96" spans="1:10" ht="15.75" x14ac:dyDescent="0.25">
      <c r="A96" s="198" t="s">
        <v>181</v>
      </c>
      <c r="B96" s="192"/>
      <c r="C96" s="24"/>
      <c r="D96" s="23">
        <f>0.6+0.1+0.1</f>
        <v>0.79999999999999993</v>
      </c>
      <c r="E96" s="23">
        <f>0.6+0.1+0.1</f>
        <v>0.79999999999999993</v>
      </c>
      <c r="F96" s="11">
        <v>0.45</v>
      </c>
      <c r="G96" s="11">
        <v>4</v>
      </c>
      <c r="H96" s="49"/>
      <c r="I96" s="25">
        <f>ROUND(SUM(D96*E96*F96*G96),2)</f>
        <v>1.1499999999999999</v>
      </c>
      <c r="J96" s="225"/>
    </row>
    <row r="97" spans="1:10" ht="15.75" x14ac:dyDescent="0.25">
      <c r="A97" s="190" t="s">
        <v>182</v>
      </c>
      <c r="B97" s="191"/>
      <c r="C97" s="24"/>
      <c r="D97" s="23">
        <f>4.8+0.1+0.1</f>
        <v>4.9999999999999991</v>
      </c>
      <c r="E97" s="23">
        <f>2.2+0.1+0.1</f>
        <v>2.4000000000000004</v>
      </c>
      <c r="F97" s="11">
        <v>0.85</v>
      </c>
      <c r="G97" s="11">
        <v>3</v>
      </c>
      <c r="H97" s="57"/>
      <c r="I97" s="25">
        <f t="shared" ref="I97:I98" si="1">ROUND(SUM(D97*E97*F97*G97),2)</f>
        <v>30.6</v>
      </c>
      <c r="J97" s="218"/>
    </row>
    <row r="98" spans="1:10" ht="15.75" x14ac:dyDescent="0.25">
      <c r="A98" s="198" t="s">
        <v>106</v>
      </c>
      <c r="B98" s="192"/>
      <c r="C98" s="50" t="s">
        <v>183</v>
      </c>
      <c r="D98" s="26">
        <f>4.17*2</f>
        <v>8.34</v>
      </c>
      <c r="E98" s="26">
        <f>0.8+0.1+0.1</f>
        <v>1</v>
      </c>
      <c r="F98" s="11">
        <v>0.45</v>
      </c>
      <c r="G98" s="27">
        <v>2</v>
      </c>
      <c r="H98" s="28"/>
      <c r="I98" s="25">
        <f t="shared" si="1"/>
        <v>7.51</v>
      </c>
      <c r="J98" s="218"/>
    </row>
    <row r="99" spans="1:10" ht="15.75" x14ac:dyDescent="0.25">
      <c r="A99" s="193" t="s">
        <v>12</v>
      </c>
      <c r="B99" s="194"/>
      <c r="C99" s="194"/>
      <c r="D99" s="194"/>
      <c r="E99" s="194"/>
      <c r="F99" s="194"/>
      <c r="G99" s="194"/>
      <c r="H99" s="195"/>
      <c r="I99" s="13">
        <f>ROUND(SUM(I96:I98),2)</f>
        <v>39.26</v>
      </c>
      <c r="J99" s="219"/>
    </row>
    <row r="100" spans="1:10" ht="15.75" x14ac:dyDescent="0.25">
      <c r="A100" s="46"/>
      <c r="B100" s="47"/>
      <c r="C100" s="29"/>
      <c r="D100" s="29"/>
      <c r="E100" s="29"/>
      <c r="F100" s="29"/>
      <c r="G100" s="29"/>
      <c r="H100" s="29"/>
      <c r="I100" s="30"/>
      <c r="J100" s="31"/>
    </row>
    <row r="101" spans="1:10" ht="15.75" x14ac:dyDescent="0.25">
      <c r="A101" s="5" t="s">
        <v>4</v>
      </c>
      <c r="B101" s="229" t="s">
        <v>153</v>
      </c>
      <c r="C101" s="199"/>
      <c r="D101" s="201" t="s">
        <v>92</v>
      </c>
      <c r="E101" s="202"/>
      <c r="F101" s="202"/>
      <c r="G101" s="202"/>
      <c r="H101" s="202"/>
      <c r="I101" s="202"/>
      <c r="J101" s="203"/>
    </row>
    <row r="102" spans="1:10" ht="15.75" x14ac:dyDescent="0.25">
      <c r="A102" s="5" t="s">
        <v>6</v>
      </c>
      <c r="B102" s="200"/>
      <c r="C102" s="200"/>
      <c r="D102" s="204"/>
      <c r="E102" s="205"/>
      <c r="F102" s="205"/>
      <c r="G102" s="205"/>
      <c r="H102" s="205"/>
      <c r="I102" s="205"/>
      <c r="J102" s="206"/>
    </row>
    <row r="103" spans="1:10" ht="15.75" x14ac:dyDescent="0.25">
      <c r="A103" s="216" t="s">
        <v>7</v>
      </c>
      <c r="B103" s="217"/>
      <c r="C103" s="49" t="s">
        <v>7</v>
      </c>
      <c r="D103" s="20" t="s">
        <v>8</v>
      </c>
      <c r="E103" s="6" t="s">
        <v>10</v>
      </c>
      <c r="F103" s="49"/>
      <c r="G103" s="49"/>
      <c r="H103" s="49"/>
      <c r="I103" s="7" t="str">
        <f>I87</f>
        <v>Comprimento Total (m)</v>
      </c>
      <c r="J103" s="8" t="s">
        <v>78</v>
      </c>
    </row>
    <row r="104" spans="1:10" ht="15.75" x14ac:dyDescent="0.25">
      <c r="A104" s="190"/>
      <c r="B104" s="191"/>
      <c r="C104" s="24"/>
      <c r="D104" s="23">
        <v>6</v>
      </c>
      <c r="E104" s="15">
        <v>31</v>
      </c>
      <c r="F104" s="49"/>
      <c r="G104" s="49"/>
      <c r="H104" s="49"/>
      <c r="I104" s="12">
        <f>ROUND(D104*E104,2)</f>
        <v>186</v>
      </c>
      <c r="J104" s="225"/>
    </row>
    <row r="105" spans="1:10" ht="15.75" x14ac:dyDescent="0.25">
      <c r="A105" s="193" t="s">
        <v>12</v>
      </c>
      <c r="B105" s="194"/>
      <c r="C105" s="194"/>
      <c r="D105" s="194"/>
      <c r="E105" s="194"/>
      <c r="F105" s="194"/>
      <c r="G105" s="194"/>
      <c r="H105" s="195"/>
      <c r="I105" s="13">
        <f>ROUND(SUM(I104:I104),2)</f>
        <v>186</v>
      </c>
      <c r="J105" s="219"/>
    </row>
    <row r="106" spans="1:10" ht="15.75" x14ac:dyDescent="0.25">
      <c r="A106" s="46"/>
      <c r="B106" s="47"/>
      <c r="C106" s="29"/>
      <c r="D106" s="29"/>
      <c r="E106" s="29"/>
      <c r="F106" s="29"/>
      <c r="G106" s="29"/>
      <c r="H106" s="29"/>
      <c r="I106" s="30"/>
      <c r="J106" s="31"/>
    </row>
    <row r="107" spans="1:10" ht="15.75" x14ac:dyDescent="0.25">
      <c r="A107" s="5" t="s">
        <v>4</v>
      </c>
      <c r="B107" s="229" t="s">
        <v>154</v>
      </c>
      <c r="C107" s="199"/>
      <c r="D107" s="201" t="s">
        <v>93</v>
      </c>
      <c r="E107" s="202"/>
      <c r="F107" s="202"/>
      <c r="G107" s="202"/>
      <c r="H107" s="202"/>
      <c r="I107" s="202"/>
      <c r="J107" s="203"/>
    </row>
    <row r="108" spans="1:10" ht="15.75" x14ac:dyDescent="0.25">
      <c r="A108" s="5" t="s">
        <v>6</v>
      </c>
      <c r="B108" s="200"/>
      <c r="C108" s="200"/>
      <c r="D108" s="204"/>
      <c r="E108" s="205"/>
      <c r="F108" s="205"/>
      <c r="G108" s="205"/>
      <c r="H108" s="205"/>
      <c r="I108" s="205"/>
      <c r="J108" s="206"/>
    </row>
    <row r="109" spans="1:10" ht="31.5" x14ac:dyDescent="0.25">
      <c r="A109" s="216" t="s">
        <v>7</v>
      </c>
      <c r="B109" s="217"/>
      <c r="C109" s="49" t="s">
        <v>7</v>
      </c>
      <c r="D109" s="20" t="s">
        <v>33</v>
      </c>
      <c r="E109" s="6" t="s">
        <v>34</v>
      </c>
      <c r="F109" s="21"/>
      <c r="G109" s="49" t="s">
        <v>24</v>
      </c>
      <c r="H109" s="49"/>
      <c r="I109" s="7" t="s">
        <v>29</v>
      </c>
      <c r="J109" s="8" t="s">
        <v>78</v>
      </c>
    </row>
    <row r="110" spans="1:10" ht="15.75" x14ac:dyDescent="0.25">
      <c r="A110" s="190" t="str">
        <f>A96</f>
        <v>BLOCO 60X60CM</v>
      </c>
      <c r="B110" s="191"/>
      <c r="C110" s="24"/>
      <c r="D110" s="23">
        <f t="shared" ref="D110:E112" si="2">D96</f>
        <v>0.79999999999999993</v>
      </c>
      <c r="E110" s="23">
        <f t="shared" si="2"/>
        <v>0.79999999999999993</v>
      </c>
      <c r="F110" s="24"/>
      <c r="G110" s="11">
        <f>G96</f>
        <v>4</v>
      </c>
      <c r="H110" s="49"/>
      <c r="I110" s="12">
        <f>ROUND(SUM(D110*E110*G110),2)</f>
        <v>2.56</v>
      </c>
      <c r="J110" s="225"/>
    </row>
    <row r="111" spans="1:10" ht="15.75" x14ac:dyDescent="0.25">
      <c r="A111" s="190" t="str">
        <f>A97</f>
        <v xml:space="preserve">BLOCO 480X220CM </v>
      </c>
      <c r="B111" s="191"/>
      <c r="C111" s="24"/>
      <c r="D111" s="23">
        <f t="shared" si="2"/>
        <v>4.9999999999999991</v>
      </c>
      <c r="E111" s="23">
        <f t="shared" si="2"/>
        <v>2.4000000000000004</v>
      </c>
      <c r="F111" s="24"/>
      <c r="G111" s="11">
        <f t="shared" ref="G111:G112" si="3">G97</f>
        <v>3</v>
      </c>
      <c r="H111" s="57"/>
      <c r="I111" s="12">
        <f t="shared" ref="I111:I112" si="4">ROUND(SUM(D111*E111*G111),2)</f>
        <v>36</v>
      </c>
      <c r="J111" s="218"/>
    </row>
    <row r="112" spans="1:10" ht="15.75" x14ac:dyDescent="0.25">
      <c r="A112" s="190" t="str">
        <f>A98</f>
        <v>SAPATA DE APOIO (ALA DE CONTENÇÃO)</v>
      </c>
      <c r="B112" s="191"/>
      <c r="C112" s="50"/>
      <c r="D112" s="26">
        <f t="shared" si="2"/>
        <v>8.34</v>
      </c>
      <c r="E112" s="15">
        <f t="shared" si="2"/>
        <v>1</v>
      </c>
      <c r="F112" s="24"/>
      <c r="G112" s="11">
        <f t="shared" si="3"/>
        <v>2</v>
      </c>
      <c r="H112" s="28"/>
      <c r="I112" s="12">
        <f t="shared" si="4"/>
        <v>16.68</v>
      </c>
      <c r="J112" s="218"/>
    </row>
    <row r="113" spans="1:10" ht="15.75" x14ac:dyDescent="0.25">
      <c r="A113" s="193" t="s">
        <v>12</v>
      </c>
      <c r="B113" s="194"/>
      <c r="C113" s="194"/>
      <c r="D113" s="194"/>
      <c r="E113" s="194"/>
      <c r="F113" s="194"/>
      <c r="G113" s="194"/>
      <c r="H113" s="195"/>
      <c r="I113" s="13">
        <f>ROUND(SUM(I110:I112),2)</f>
        <v>55.24</v>
      </c>
      <c r="J113" s="219"/>
    </row>
    <row r="114" spans="1:10" ht="15.75" x14ac:dyDescent="0.25">
      <c r="A114" s="46"/>
      <c r="B114" s="47"/>
      <c r="C114" s="29"/>
      <c r="D114" s="29"/>
      <c r="E114" s="29"/>
      <c r="F114" s="29"/>
      <c r="G114" s="29"/>
      <c r="H114" s="29"/>
      <c r="I114" s="30"/>
      <c r="J114" s="31"/>
    </row>
    <row r="115" spans="1:10" ht="15.75" x14ac:dyDescent="0.25">
      <c r="A115" s="5" t="s">
        <v>4</v>
      </c>
      <c r="B115" s="229" t="s">
        <v>155</v>
      </c>
      <c r="C115" s="199"/>
      <c r="D115" s="201" t="str">
        <f>'[1]Planilha Orcamentária'!C30</f>
        <v>LASTRO DE CONCRETO MAGRO, APLICADO EM BLOCOS DE COROAMENTO OU SAPATAS. AF_08/2017</v>
      </c>
      <c r="E115" s="202"/>
      <c r="F115" s="202"/>
      <c r="G115" s="202"/>
      <c r="H115" s="202"/>
      <c r="I115" s="202"/>
      <c r="J115" s="203"/>
    </row>
    <row r="116" spans="1:10" ht="15.75" x14ac:dyDescent="0.25">
      <c r="A116" s="5" t="s">
        <v>6</v>
      </c>
      <c r="B116" s="200"/>
      <c r="C116" s="200"/>
      <c r="D116" s="204"/>
      <c r="E116" s="205"/>
      <c r="F116" s="205"/>
      <c r="G116" s="205"/>
      <c r="H116" s="205"/>
      <c r="I116" s="205"/>
      <c r="J116" s="206"/>
    </row>
    <row r="117" spans="1:10" ht="31.5" x14ac:dyDescent="0.25">
      <c r="A117" s="216" t="s">
        <v>7</v>
      </c>
      <c r="B117" s="217"/>
      <c r="C117" s="49" t="s">
        <v>7</v>
      </c>
      <c r="D117" s="20" t="s">
        <v>33</v>
      </c>
      <c r="E117" s="6" t="s">
        <v>34</v>
      </c>
      <c r="F117" s="21" t="s">
        <v>35</v>
      </c>
      <c r="G117" s="49" t="s">
        <v>24</v>
      </c>
      <c r="H117" s="49"/>
      <c r="I117" s="7" t="s">
        <v>26</v>
      </c>
      <c r="J117" s="8" t="s">
        <v>78</v>
      </c>
    </row>
    <row r="118" spans="1:10" ht="15.75" x14ac:dyDescent="0.25">
      <c r="A118" s="190" t="str">
        <f>A110</f>
        <v>BLOCO 60X60CM</v>
      </c>
      <c r="B118" s="191"/>
      <c r="C118" s="24"/>
      <c r="D118" s="23">
        <f>D110</f>
        <v>0.79999999999999993</v>
      </c>
      <c r="E118" s="23">
        <f>E110</f>
        <v>0.79999999999999993</v>
      </c>
      <c r="F118" s="24">
        <v>0.05</v>
      </c>
      <c r="G118" s="11">
        <f>G110</f>
        <v>4</v>
      </c>
      <c r="H118" s="49"/>
      <c r="I118" s="12">
        <f>ROUND(SUM(D118*E118*F118*G118),2)</f>
        <v>0.13</v>
      </c>
      <c r="J118" s="225"/>
    </row>
    <row r="119" spans="1:10" ht="15.75" x14ac:dyDescent="0.25">
      <c r="A119" s="190" t="str">
        <f t="shared" ref="A119:A120" si="5">A111</f>
        <v xml:space="preserve">BLOCO 480X220CM </v>
      </c>
      <c r="B119" s="191"/>
      <c r="C119" s="24"/>
      <c r="D119" s="23">
        <f t="shared" ref="D119:E120" si="6">D111</f>
        <v>4.9999999999999991</v>
      </c>
      <c r="E119" s="23">
        <f t="shared" si="6"/>
        <v>2.4000000000000004</v>
      </c>
      <c r="F119" s="24">
        <v>0.05</v>
      </c>
      <c r="G119" s="11">
        <f t="shared" ref="G119:G120" si="7">G111</f>
        <v>3</v>
      </c>
      <c r="H119" s="57"/>
      <c r="I119" s="12">
        <f t="shared" ref="I119:I120" si="8">ROUND(SUM(D119*E119*F119*G119),2)</f>
        <v>1.8</v>
      </c>
      <c r="J119" s="218"/>
    </row>
    <row r="120" spans="1:10" ht="15.75" x14ac:dyDescent="0.25">
      <c r="A120" s="190" t="str">
        <f t="shared" si="5"/>
        <v>SAPATA DE APOIO (ALA DE CONTENÇÃO)</v>
      </c>
      <c r="B120" s="191"/>
      <c r="C120" s="50"/>
      <c r="D120" s="23">
        <f t="shared" si="6"/>
        <v>8.34</v>
      </c>
      <c r="E120" s="23">
        <f t="shared" si="6"/>
        <v>1</v>
      </c>
      <c r="F120" s="24">
        <v>0.05</v>
      </c>
      <c r="G120" s="11">
        <f t="shared" si="7"/>
        <v>2</v>
      </c>
      <c r="H120" s="28"/>
      <c r="I120" s="12">
        <f t="shared" si="8"/>
        <v>0.83</v>
      </c>
      <c r="J120" s="218"/>
    </row>
    <row r="121" spans="1:10" ht="15.75" x14ac:dyDescent="0.25">
      <c r="A121" s="193" t="s">
        <v>12</v>
      </c>
      <c r="B121" s="194"/>
      <c r="C121" s="194"/>
      <c r="D121" s="194"/>
      <c r="E121" s="194"/>
      <c r="F121" s="194"/>
      <c r="G121" s="194"/>
      <c r="H121" s="195"/>
      <c r="I121" s="13">
        <f>ROUND(SUM(I118:I120),2)</f>
        <v>2.76</v>
      </c>
      <c r="J121" s="219"/>
    </row>
    <row r="122" spans="1:10" ht="15.75" x14ac:dyDescent="0.25">
      <c r="A122" s="46"/>
      <c r="B122" s="47"/>
      <c r="C122" s="29"/>
      <c r="D122" s="29"/>
      <c r="E122" s="29"/>
      <c r="F122" s="29"/>
      <c r="G122" s="29"/>
      <c r="H122" s="29"/>
      <c r="I122" s="30"/>
      <c r="J122" s="31"/>
    </row>
    <row r="123" spans="1:10" ht="15.75" x14ac:dyDescent="0.25">
      <c r="A123" s="60" t="s">
        <v>4</v>
      </c>
      <c r="B123" s="230" t="s">
        <v>320</v>
      </c>
      <c r="C123" s="231"/>
      <c r="D123" s="232" t="s">
        <v>94</v>
      </c>
      <c r="E123" s="232"/>
      <c r="F123" s="232"/>
      <c r="G123" s="232"/>
      <c r="H123" s="232"/>
      <c r="I123" s="232"/>
      <c r="J123" s="232"/>
    </row>
    <row r="124" spans="1:10" ht="15.75" x14ac:dyDescent="0.25">
      <c r="A124" s="60" t="s">
        <v>6</v>
      </c>
      <c r="B124" s="230"/>
      <c r="C124" s="230"/>
      <c r="D124" s="232"/>
      <c r="E124" s="232"/>
      <c r="F124" s="232"/>
      <c r="G124" s="232"/>
      <c r="H124" s="232"/>
      <c r="I124" s="232"/>
      <c r="J124" s="232"/>
    </row>
    <row r="125" spans="1:10" ht="15.75" x14ac:dyDescent="0.25">
      <c r="A125" s="167" t="s">
        <v>7</v>
      </c>
      <c r="B125" s="167"/>
      <c r="C125" s="57" t="s">
        <v>7</v>
      </c>
      <c r="D125" s="20" t="s">
        <v>38</v>
      </c>
      <c r="E125" s="20"/>
      <c r="F125" s="21"/>
      <c r="G125" s="57"/>
      <c r="H125" s="57"/>
      <c r="I125" s="21" t="s">
        <v>39</v>
      </c>
      <c r="J125" s="57" t="s">
        <v>78</v>
      </c>
    </row>
    <row r="126" spans="1:10" ht="15.75" x14ac:dyDescent="0.25">
      <c r="A126" s="237" t="s">
        <v>107</v>
      </c>
      <c r="B126" s="237"/>
      <c r="C126" s="24"/>
      <c r="D126" s="23">
        <v>25.01</v>
      </c>
      <c r="E126" s="23"/>
      <c r="F126" s="24"/>
      <c r="G126" s="11"/>
      <c r="H126" s="57"/>
      <c r="I126" s="25">
        <f>ROUND(SUM(D126),2)</f>
        <v>25.01</v>
      </c>
      <c r="J126" s="167"/>
    </row>
    <row r="127" spans="1:10" ht="15.75" x14ac:dyDescent="0.25">
      <c r="A127" s="237" t="s">
        <v>305</v>
      </c>
      <c r="B127" s="237"/>
      <c r="C127" s="24"/>
      <c r="D127" s="23">
        <v>90.69</v>
      </c>
      <c r="E127" s="23"/>
      <c r="F127" s="24"/>
      <c r="G127" s="11"/>
      <c r="H127" s="57"/>
      <c r="I127" s="25">
        <f>ROUND(SUM(D127),2)</f>
        <v>90.69</v>
      </c>
      <c r="J127" s="167"/>
    </row>
    <row r="128" spans="1:10" ht="15.75" x14ac:dyDescent="0.25">
      <c r="A128" s="236" t="s">
        <v>12</v>
      </c>
      <c r="B128" s="236"/>
      <c r="C128" s="236"/>
      <c r="D128" s="236"/>
      <c r="E128" s="236"/>
      <c r="F128" s="236"/>
      <c r="G128" s="236"/>
      <c r="H128" s="236"/>
      <c r="I128" s="13">
        <f>ROUND(SUM(I126:I127),2)</f>
        <v>115.7</v>
      </c>
      <c r="J128" s="167"/>
    </row>
    <row r="129" spans="1:10" ht="15.75" x14ac:dyDescent="0.25">
      <c r="A129" s="207"/>
      <c r="B129" s="208"/>
      <c r="C129" s="208"/>
      <c r="D129" s="208"/>
      <c r="E129" s="208"/>
      <c r="F129" s="208"/>
      <c r="G129" s="208"/>
      <c r="H129" s="208"/>
      <c r="I129" s="208"/>
      <c r="J129" s="209"/>
    </row>
    <row r="130" spans="1:10" ht="15.75" x14ac:dyDescent="0.25">
      <c r="A130" s="60" t="s">
        <v>4</v>
      </c>
      <c r="B130" s="230" t="s">
        <v>156</v>
      </c>
      <c r="C130" s="231"/>
      <c r="D130" s="232" t="s">
        <v>96</v>
      </c>
      <c r="E130" s="232"/>
      <c r="F130" s="232"/>
      <c r="G130" s="232"/>
      <c r="H130" s="232"/>
      <c r="I130" s="232"/>
      <c r="J130" s="232"/>
    </row>
    <row r="131" spans="1:10" ht="15.75" x14ac:dyDescent="0.25">
      <c r="A131" s="60" t="s">
        <v>6</v>
      </c>
      <c r="B131" s="230"/>
      <c r="C131" s="230"/>
      <c r="D131" s="232"/>
      <c r="E131" s="232"/>
      <c r="F131" s="232"/>
      <c r="G131" s="232"/>
      <c r="H131" s="232"/>
      <c r="I131" s="232"/>
      <c r="J131" s="232"/>
    </row>
    <row r="132" spans="1:10" ht="15.75" x14ac:dyDescent="0.25">
      <c r="A132" s="167" t="s">
        <v>7</v>
      </c>
      <c r="B132" s="167"/>
      <c r="C132" s="57" t="s">
        <v>7</v>
      </c>
      <c r="D132" s="20" t="s">
        <v>38</v>
      </c>
      <c r="E132" s="20"/>
      <c r="F132" s="21"/>
      <c r="G132" s="57"/>
      <c r="H132" s="57"/>
      <c r="I132" s="21" t="s">
        <v>39</v>
      </c>
      <c r="J132" s="57" t="s">
        <v>78</v>
      </c>
    </row>
    <row r="133" spans="1:10" ht="15.75" x14ac:dyDescent="0.25">
      <c r="A133" s="192" t="str">
        <f>A126</f>
        <v xml:space="preserve">BLOCOS </v>
      </c>
      <c r="B133" s="192"/>
      <c r="C133" s="24"/>
      <c r="D133" s="23">
        <v>196.69</v>
      </c>
      <c r="E133" s="23"/>
      <c r="F133" s="24"/>
      <c r="G133" s="11"/>
      <c r="H133" s="57"/>
      <c r="I133" s="25">
        <f>ROUND(SUM(D133),2)</f>
        <v>196.69</v>
      </c>
      <c r="J133" s="167"/>
    </row>
    <row r="134" spans="1:10" ht="15.75" x14ac:dyDescent="0.25">
      <c r="A134" s="236" t="s">
        <v>12</v>
      </c>
      <c r="B134" s="236"/>
      <c r="C134" s="236"/>
      <c r="D134" s="236"/>
      <c r="E134" s="236"/>
      <c r="F134" s="236"/>
      <c r="G134" s="236"/>
      <c r="H134" s="236"/>
      <c r="I134" s="13">
        <f>ROUND(SUM(I133:I133),2)</f>
        <v>196.69</v>
      </c>
      <c r="J134" s="167"/>
    </row>
    <row r="135" spans="1:10" ht="15.75" x14ac:dyDescent="0.25">
      <c r="A135" s="207"/>
      <c r="B135" s="208"/>
      <c r="C135" s="208"/>
      <c r="D135" s="208"/>
      <c r="E135" s="208"/>
      <c r="F135" s="208"/>
      <c r="G135" s="208"/>
      <c r="H135" s="208"/>
      <c r="I135" s="208"/>
      <c r="J135" s="209"/>
    </row>
    <row r="136" spans="1:10" ht="15.75" x14ac:dyDescent="0.25">
      <c r="A136" s="60" t="s">
        <v>4</v>
      </c>
      <c r="B136" s="230" t="s">
        <v>321</v>
      </c>
      <c r="C136" s="231"/>
      <c r="D136" s="232" t="s">
        <v>97</v>
      </c>
      <c r="E136" s="232"/>
      <c r="F136" s="232"/>
      <c r="G136" s="232"/>
      <c r="H136" s="232"/>
      <c r="I136" s="232"/>
      <c r="J136" s="232"/>
    </row>
    <row r="137" spans="1:10" ht="15.75" x14ac:dyDescent="0.25">
      <c r="A137" s="60" t="s">
        <v>6</v>
      </c>
      <c r="B137" s="230"/>
      <c r="C137" s="230"/>
      <c r="D137" s="232"/>
      <c r="E137" s="232"/>
      <c r="F137" s="232"/>
      <c r="G137" s="232"/>
      <c r="H137" s="232"/>
      <c r="I137" s="232"/>
      <c r="J137" s="232"/>
    </row>
    <row r="138" spans="1:10" ht="15.75" x14ac:dyDescent="0.25">
      <c r="A138" s="167" t="s">
        <v>7</v>
      </c>
      <c r="B138" s="167"/>
      <c r="C138" s="57" t="s">
        <v>7</v>
      </c>
      <c r="D138" s="20" t="s">
        <v>38</v>
      </c>
      <c r="E138" s="20"/>
      <c r="F138" s="21"/>
      <c r="G138" s="57"/>
      <c r="H138" s="57"/>
      <c r="I138" s="21" t="s">
        <v>39</v>
      </c>
      <c r="J138" s="57" t="s">
        <v>78</v>
      </c>
    </row>
    <row r="139" spans="1:10" ht="15.75" x14ac:dyDescent="0.25">
      <c r="A139" s="192" t="str">
        <f>A133</f>
        <v xml:space="preserve">BLOCOS </v>
      </c>
      <c r="B139" s="192"/>
      <c r="C139" s="24"/>
      <c r="D139" s="23">
        <v>1366.5</v>
      </c>
      <c r="E139" s="23"/>
      <c r="F139" s="24"/>
      <c r="G139" s="11"/>
      <c r="H139" s="57"/>
      <c r="I139" s="25">
        <f>ROUND(SUM(D139),2)</f>
        <v>1366.5</v>
      </c>
      <c r="J139" s="167"/>
    </row>
    <row r="140" spans="1:10" ht="15.75" x14ac:dyDescent="0.25">
      <c r="A140" s="236" t="s">
        <v>12</v>
      </c>
      <c r="B140" s="236"/>
      <c r="C140" s="236"/>
      <c r="D140" s="236"/>
      <c r="E140" s="236"/>
      <c r="F140" s="236"/>
      <c r="G140" s="236"/>
      <c r="H140" s="236"/>
      <c r="I140" s="13">
        <f>ROUND(SUM(I139:I139),2)</f>
        <v>1366.5</v>
      </c>
      <c r="J140" s="167"/>
    </row>
    <row r="141" spans="1:10" ht="15.75" x14ac:dyDescent="0.25">
      <c r="A141" s="207"/>
      <c r="B141" s="208"/>
      <c r="C141" s="208"/>
      <c r="D141" s="208"/>
      <c r="E141" s="208"/>
      <c r="F141" s="208"/>
      <c r="G141" s="208"/>
      <c r="H141" s="208"/>
      <c r="I141" s="208"/>
      <c r="J141" s="209"/>
    </row>
    <row r="142" spans="1:10" ht="15.75" x14ac:dyDescent="0.25">
      <c r="A142" s="60" t="s">
        <v>4</v>
      </c>
      <c r="B142" s="230" t="s">
        <v>157</v>
      </c>
      <c r="C142" s="231"/>
      <c r="D142" s="232" t="s">
        <v>98</v>
      </c>
      <c r="E142" s="232"/>
      <c r="F142" s="232"/>
      <c r="G142" s="232"/>
      <c r="H142" s="232"/>
      <c r="I142" s="232"/>
      <c r="J142" s="232"/>
    </row>
    <row r="143" spans="1:10" ht="15.75" x14ac:dyDescent="0.25">
      <c r="A143" s="60" t="s">
        <v>6</v>
      </c>
      <c r="B143" s="230"/>
      <c r="C143" s="230"/>
      <c r="D143" s="232"/>
      <c r="E143" s="232"/>
      <c r="F143" s="232"/>
      <c r="G143" s="232"/>
      <c r="H143" s="232"/>
      <c r="I143" s="232"/>
      <c r="J143" s="232"/>
    </row>
    <row r="144" spans="1:10" ht="15.75" x14ac:dyDescent="0.25">
      <c r="A144" s="167" t="s">
        <v>7</v>
      </c>
      <c r="B144" s="167"/>
      <c r="C144" s="57" t="s">
        <v>7</v>
      </c>
      <c r="D144" s="20" t="s">
        <v>38</v>
      </c>
      <c r="E144" s="20"/>
      <c r="F144" s="21"/>
      <c r="G144" s="57"/>
      <c r="H144" s="57"/>
      <c r="I144" s="21" t="s">
        <v>39</v>
      </c>
      <c r="J144" s="57" t="s">
        <v>78</v>
      </c>
    </row>
    <row r="145" spans="1:10" s="68" customFormat="1" ht="15.75" x14ac:dyDescent="0.25">
      <c r="A145" s="192" t="str">
        <f>A127</f>
        <v xml:space="preserve">PILARES DE ARRANQUE </v>
      </c>
      <c r="B145" s="192"/>
      <c r="C145" s="24"/>
      <c r="D145" s="23">
        <v>441.03</v>
      </c>
      <c r="E145" s="23"/>
      <c r="F145" s="24"/>
      <c r="G145" s="11"/>
      <c r="H145" s="57"/>
      <c r="I145" s="25">
        <f>ROUND(SUM(D145),2)</f>
        <v>441.03</v>
      </c>
      <c r="J145" s="167"/>
    </row>
    <row r="146" spans="1:10" ht="15.75" x14ac:dyDescent="0.25">
      <c r="A146" s="236" t="s">
        <v>12</v>
      </c>
      <c r="B146" s="236"/>
      <c r="C146" s="236"/>
      <c r="D146" s="236"/>
      <c r="E146" s="236"/>
      <c r="F146" s="236"/>
      <c r="G146" s="236"/>
      <c r="H146" s="236"/>
      <c r="I146" s="13">
        <f>ROUND(SUM(I145:I145),2)</f>
        <v>441.03</v>
      </c>
      <c r="J146" s="167"/>
    </row>
    <row r="147" spans="1:10" ht="15.75" x14ac:dyDescent="0.25">
      <c r="A147" s="207"/>
      <c r="B147" s="208"/>
      <c r="C147" s="208"/>
      <c r="D147" s="208"/>
      <c r="E147" s="208"/>
      <c r="F147" s="208"/>
      <c r="G147" s="208"/>
      <c r="H147" s="208"/>
      <c r="I147" s="208"/>
      <c r="J147" s="209"/>
    </row>
    <row r="148" spans="1:10" ht="15.75" x14ac:dyDescent="0.25">
      <c r="A148" s="5" t="s">
        <v>4</v>
      </c>
      <c r="B148" s="229" t="s">
        <v>158</v>
      </c>
      <c r="C148" s="199"/>
      <c r="D148" s="201" t="s">
        <v>99</v>
      </c>
      <c r="E148" s="202"/>
      <c r="F148" s="202"/>
      <c r="G148" s="202"/>
      <c r="H148" s="202"/>
      <c r="I148" s="202"/>
      <c r="J148" s="203"/>
    </row>
    <row r="149" spans="1:10" ht="15.75" x14ac:dyDescent="0.25">
      <c r="A149" s="5" t="s">
        <v>6</v>
      </c>
      <c r="B149" s="200"/>
      <c r="C149" s="200"/>
      <c r="D149" s="204"/>
      <c r="E149" s="205"/>
      <c r="F149" s="205"/>
      <c r="G149" s="205"/>
      <c r="H149" s="205"/>
      <c r="I149" s="205"/>
      <c r="J149" s="206"/>
    </row>
    <row r="150" spans="1:10" ht="15.75" x14ac:dyDescent="0.25">
      <c r="A150" s="216" t="s">
        <v>7</v>
      </c>
      <c r="B150" s="217"/>
      <c r="C150" s="49" t="s">
        <v>7</v>
      </c>
      <c r="D150" s="20" t="s">
        <v>27</v>
      </c>
      <c r="E150" s="6" t="s">
        <v>37</v>
      </c>
      <c r="F150" s="49" t="s">
        <v>143</v>
      </c>
      <c r="G150" s="49" t="s">
        <v>319</v>
      </c>
      <c r="H150" s="49" t="s">
        <v>24</v>
      </c>
      <c r="I150" s="7" t="s">
        <v>29</v>
      </c>
      <c r="J150" s="8" t="s">
        <v>78</v>
      </c>
    </row>
    <row r="151" spans="1:10" ht="15.75" x14ac:dyDescent="0.25">
      <c r="A151" s="190" t="str">
        <f>A118</f>
        <v>BLOCO 60X60CM</v>
      </c>
      <c r="B151" s="191"/>
      <c r="C151" s="24"/>
      <c r="D151" s="23">
        <v>0.6</v>
      </c>
      <c r="E151" s="23">
        <v>0.4</v>
      </c>
      <c r="F151" s="11">
        <v>4</v>
      </c>
      <c r="G151" s="11">
        <v>2</v>
      </c>
      <c r="H151" s="11">
        <f>G118</f>
        <v>4</v>
      </c>
      <c r="I151" s="12">
        <f>ROUND(SUM(D151*E151*H151*F151)/G151,2)</f>
        <v>1.92</v>
      </c>
      <c r="J151" s="225"/>
    </row>
    <row r="152" spans="1:10" ht="15.75" x14ac:dyDescent="0.25">
      <c r="A152" s="190" t="str">
        <f>A119</f>
        <v xml:space="preserve">BLOCO 480X220CM </v>
      </c>
      <c r="B152" s="191"/>
      <c r="C152" s="24" t="s">
        <v>184</v>
      </c>
      <c r="D152" s="23">
        <f>4.8+4.8+2.2+2.2</f>
        <v>14</v>
      </c>
      <c r="E152" s="59">
        <v>0.8</v>
      </c>
      <c r="F152" s="11">
        <v>1</v>
      </c>
      <c r="G152" s="11">
        <v>2</v>
      </c>
      <c r="H152" s="11">
        <v>3</v>
      </c>
      <c r="I152" s="12">
        <f t="shared" ref="I152:I153" si="9">ROUND(SUM(D152*E152*H152*F152)/G152,2)</f>
        <v>16.8</v>
      </c>
      <c r="J152" s="218"/>
    </row>
    <row r="153" spans="1:10" ht="15.75" x14ac:dyDescent="0.25">
      <c r="A153" s="190" t="str">
        <f>A120</f>
        <v>SAPATA DE APOIO (ALA DE CONTENÇÃO)</v>
      </c>
      <c r="B153" s="191"/>
      <c r="C153" s="50" t="s">
        <v>185</v>
      </c>
      <c r="D153" s="26">
        <f>(0.4+4.17+4.17)*2</f>
        <v>17.48</v>
      </c>
      <c r="E153" s="15">
        <v>0.3</v>
      </c>
      <c r="F153" s="11">
        <v>1</v>
      </c>
      <c r="G153" s="11">
        <v>2</v>
      </c>
      <c r="H153" s="11">
        <f>G120</f>
        <v>2</v>
      </c>
      <c r="I153" s="12">
        <f t="shared" si="9"/>
        <v>5.24</v>
      </c>
      <c r="J153" s="218"/>
    </row>
    <row r="154" spans="1:10" ht="15.75" x14ac:dyDescent="0.25">
      <c r="A154" s="193" t="s">
        <v>12</v>
      </c>
      <c r="B154" s="194"/>
      <c r="C154" s="194"/>
      <c r="D154" s="194"/>
      <c r="E154" s="194"/>
      <c r="F154" s="194"/>
      <c r="G154" s="194"/>
      <c r="H154" s="195"/>
      <c r="I154" s="13">
        <f>ROUND(SUM(I151:I153),2)</f>
        <v>23.96</v>
      </c>
      <c r="J154" s="219"/>
    </row>
    <row r="155" spans="1:10" ht="15.75" x14ac:dyDescent="0.25">
      <c r="A155" s="46"/>
      <c r="B155" s="47"/>
      <c r="C155" s="29"/>
      <c r="D155" s="29"/>
      <c r="E155" s="29"/>
      <c r="F155" s="29"/>
      <c r="G155" s="29"/>
      <c r="H155" s="29"/>
      <c r="I155" s="30"/>
      <c r="J155" s="31"/>
    </row>
    <row r="156" spans="1:10" ht="15.75" x14ac:dyDescent="0.25">
      <c r="A156" s="5" t="s">
        <v>4</v>
      </c>
      <c r="B156" s="229" t="s">
        <v>159</v>
      </c>
      <c r="C156" s="199"/>
      <c r="D156" s="201" t="s">
        <v>100</v>
      </c>
      <c r="E156" s="202"/>
      <c r="F156" s="202"/>
      <c r="G156" s="202"/>
      <c r="H156" s="202"/>
      <c r="I156" s="202"/>
      <c r="J156" s="203"/>
    </row>
    <row r="157" spans="1:10" ht="15.75" x14ac:dyDescent="0.25">
      <c r="A157" s="5" t="s">
        <v>6</v>
      </c>
      <c r="B157" s="200"/>
      <c r="C157" s="200"/>
      <c r="D157" s="204"/>
      <c r="E157" s="205"/>
      <c r="F157" s="205"/>
      <c r="G157" s="205"/>
      <c r="H157" s="205"/>
      <c r="I157" s="205"/>
      <c r="J157" s="206"/>
    </row>
    <row r="158" spans="1:10" ht="15.75" x14ac:dyDescent="0.25">
      <c r="A158" s="216" t="s">
        <v>7</v>
      </c>
      <c r="B158" s="217"/>
      <c r="C158" s="49" t="s">
        <v>7</v>
      </c>
      <c r="D158" s="20" t="s">
        <v>27</v>
      </c>
      <c r="E158" s="6" t="s">
        <v>28</v>
      </c>
      <c r="F158" s="21" t="s">
        <v>23</v>
      </c>
      <c r="G158" s="49"/>
      <c r="H158" s="49" t="s">
        <v>24</v>
      </c>
      <c r="I158" s="7" t="str">
        <f>I117</f>
        <v>Volume Total (m³)</v>
      </c>
      <c r="J158" s="8" t="s">
        <v>78</v>
      </c>
    </row>
    <row r="159" spans="1:10" ht="15.75" x14ac:dyDescent="0.25">
      <c r="A159" s="190" t="str">
        <f>A151</f>
        <v>BLOCO 60X60CM</v>
      </c>
      <c r="B159" s="191"/>
      <c r="C159" s="24"/>
      <c r="D159" s="23">
        <v>0.6</v>
      </c>
      <c r="E159" s="23">
        <v>0.6</v>
      </c>
      <c r="F159" s="11">
        <v>0.4</v>
      </c>
      <c r="G159" s="11"/>
      <c r="H159" s="11">
        <f>H151</f>
        <v>4</v>
      </c>
      <c r="I159" s="25">
        <f>ROUND(SUM(D159*E159*F159*H159),2)</f>
        <v>0.57999999999999996</v>
      </c>
      <c r="J159" s="225"/>
    </row>
    <row r="160" spans="1:10" ht="15.75" x14ac:dyDescent="0.25">
      <c r="A160" s="190" t="str">
        <f>A152</f>
        <v xml:space="preserve">BLOCO 480X220CM </v>
      </c>
      <c r="B160" s="191"/>
      <c r="C160" s="24"/>
      <c r="D160" s="23">
        <v>4.8</v>
      </c>
      <c r="E160" s="23">
        <v>2.2000000000000002</v>
      </c>
      <c r="F160" s="11">
        <v>0.8</v>
      </c>
      <c r="G160" s="11"/>
      <c r="H160" s="11">
        <v>3</v>
      </c>
      <c r="I160" s="25">
        <f t="shared" ref="I160:I161" si="10">ROUND(SUM(D160*E160*F160*H160),2)</f>
        <v>25.34</v>
      </c>
      <c r="J160" s="218"/>
    </row>
    <row r="161" spans="1:10" ht="15.75" x14ac:dyDescent="0.25">
      <c r="A161" s="190" t="str">
        <f>A153</f>
        <v>SAPATA DE APOIO (ALA DE CONTENÇÃO)</v>
      </c>
      <c r="B161" s="191"/>
      <c r="C161" s="24" t="s">
        <v>183</v>
      </c>
      <c r="D161" s="23">
        <f>4.17+4.17</f>
        <v>8.34</v>
      </c>
      <c r="E161" s="23">
        <v>0.75</v>
      </c>
      <c r="F161" s="11">
        <v>0.3</v>
      </c>
      <c r="G161" s="11"/>
      <c r="H161" s="11">
        <f>H153</f>
        <v>2</v>
      </c>
      <c r="I161" s="25">
        <f t="shared" si="10"/>
        <v>3.75</v>
      </c>
      <c r="J161" s="218"/>
    </row>
    <row r="162" spans="1:10" ht="15.75" x14ac:dyDescent="0.25">
      <c r="A162" s="193" t="s">
        <v>12</v>
      </c>
      <c r="B162" s="194"/>
      <c r="C162" s="194"/>
      <c r="D162" s="194"/>
      <c r="E162" s="194"/>
      <c r="F162" s="194"/>
      <c r="G162" s="194"/>
      <c r="H162" s="195"/>
      <c r="I162" s="13">
        <f>ROUND(SUM(I159:I161),2)</f>
        <v>29.67</v>
      </c>
      <c r="J162" s="219"/>
    </row>
    <row r="163" spans="1:10" ht="15.75" x14ac:dyDescent="0.25">
      <c r="A163" s="46"/>
      <c r="B163" s="47"/>
      <c r="C163" s="29"/>
      <c r="D163" s="29"/>
      <c r="E163" s="29"/>
      <c r="F163" s="29"/>
      <c r="G163" s="29"/>
      <c r="H163" s="29"/>
      <c r="I163" s="30"/>
      <c r="J163" s="31"/>
    </row>
    <row r="164" spans="1:10" ht="15.75" x14ac:dyDescent="0.25">
      <c r="A164" s="5" t="s">
        <v>4</v>
      </c>
      <c r="B164" s="229" t="s">
        <v>160</v>
      </c>
      <c r="C164" s="199"/>
      <c r="D164" s="201" t="str">
        <f>'[1]Planilha Orcamentária'!C34</f>
        <v>REATERRO MANUAL DE VALA, INCLUSIVE ESPALHAMENTO E COMPACTAÇÃO MANUAL COM SOQUETE</v>
      </c>
      <c r="E164" s="202"/>
      <c r="F164" s="202"/>
      <c r="G164" s="202"/>
      <c r="H164" s="202"/>
      <c r="I164" s="202"/>
      <c r="J164" s="203"/>
    </row>
    <row r="165" spans="1:10" ht="15.75" x14ac:dyDescent="0.25">
      <c r="A165" s="5" t="s">
        <v>6</v>
      </c>
      <c r="B165" s="200"/>
      <c r="C165" s="200"/>
      <c r="D165" s="204"/>
      <c r="E165" s="205"/>
      <c r="F165" s="205"/>
      <c r="G165" s="205"/>
      <c r="H165" s="205"/>
      <c r="I165" s="205"/>
      <c r="J165" s="206"/>
    </row>
    <row r="166" spans="1:10" ht="15.75" x14ac:dyDescent="0.25">
      <c r="A166" s="216" t="s">
        <v>7</v>
      </c>
      <c r="B166" s="217"/>
      <c r="C166" s="49" t="s">
        <v>7</v>
      </c>
      <c r="D166" s="20" t="s">
        <v>40</v>
      </c>
      <c r="E166" s="6" t="s">
        <v>41</v>
      </c>
      <c r="F166" s="49" t="s">
        <v>42</v>
      </c>
      <c r="G166" s="49"/>
      <c r="H166" s="49"/>
      <c r="I166" s="7" t="s">
        <v>26</v>
      </c>
      <c r="J166" s="8" t="s">
        <v>78</v>
      </c>
    </row>
    <row r="167" spans="1:10" ht="15.75" x14ac:dyDescent="0.25">
      <c r="A167" s="190"/>
      <c r="B167" s="191"/>
      <c r="C167" s="24"/>
      <c r="D167" s="22">
        <f>I99</f>
        <v>39.26</v>
      </c>
      <c r="E167" s="15">
        <f>I121</f>
        <v>2.76</v>
      </c>
      <c r="F167" s="32">
        <f>I162</f>
        <v>29.67</v>
      </c>
      <c r="G167" s="49"/>
      <c r="H167" s="49"/>
      <c r="I167" s="12">
        <f>ROUND(SUM(D167-(E167+F167)),2)</f>
        <v>6.83</v>
      </c>
      <c r="J167" s="225"/>
    </row>
    <row r="168" spans="1:10" ht="15.75" x14ac:dyDescent="0.25">
      <c r="A168" s="193" t="s">
        <v>12</v>
      </c>
      <c r="B168" s="194"/>
      <c r="C168" s="194"/>
      <c r="D168" s="194"/>
      <c r="E168" s="194"/>
      <c r="F168" s="194"/>
      <c r="G168" s="194"/>
      <c r="H168" s="195"/>
      <c r="I168" s="13">
        <f>ROUND(SUM(I167:I167),2)</f>
        <v>6.83</v>
      </c>
      <c r="J168" s="219"/>
    </row>
    <row r="169" spans="1:10" ht="15.75" x14ac:dyDescent="0.25">
      <c r="A169" s="2"/>
      <c r="B169" s="3"/>
      <c r="C169" s="3"/>
      <c r="D169" s="3"/>
      <c r="E169" s="3"/>
      <c r="F169" s="3"/>
      <c r="G169" s="3"/>
      <c r="H169" s="3"/>
      <c r="I169" s="3"/>
      <c r="J169" s="4"/>
    </row>
    <row r="170" spans="1:10" ht="15.75" x14ac:dyDescent="0.25">
      <c r="A170" s="1" t="s">
        <v>72</v>
      </c>
      <c r="B170" s="222" t="s">
        <v>43</v>
      </c>
      <c r="C170" s="223"/>
      <c r="D170" s="223"/>
      <c r="E170" s="223"/>
      <c r="F170" s="223"/>
      <c r="G170" s="223"/>
      <c r="H170" s="223"/>
      <c r="I170" s="223"/>
      <c r="J170" s="224"/>
    </row>
    <row r="171" spans="1:10" ht="15.75" x14ac:dyDescent="0.25">
      <c r="A171" s="5" t="s">
        <v>4</v>
      </c>
      <c r="B171" s="196" t="s">
        <v>161</v>
      </c>
      <c r="C171" s="199"/>
      <c r="D171" s="201" t="s">
        <v>306</v>
      </c>
      <c r="E171" s="202"/>
      <c r="F171" s="202"/>
      <c r="G171" s="202"/>
      <c r="H171" s="202"/>
      <c r="I171" s="202"/>
      <c r="J171" s="203"/>
    </row>
    <row r="172" spans="1:10" ht="15.75" x14ac:dyDescent="0.25">
      <c r="A172" s="5" t="s">
        <v>6</v>
      </c>
      <c r="B172" s="197"/>
      <c r="C172" s="200"/>
      <c r="D172" s="204"/>
      <c r="E172" s="205"/>
      <c r="F172" s="205"/>
      <c r="G172" s="205"/>
      <c r="H172" s="205"/>
      <c r="I172" s="205"/>
      <c r="J172" s="206"/>
    </row>
    <row r="173" spans="1:10" ht="15.75" x14ac:dyDescent="0.25">
      <c r="A173" s="216" t="s">
        <v>7</v>
      </c>
      <c r="B173" s="217"/>
      <c r="C173" s="49" t="s">
        <v>7</v>
      </c>
      <c r="D173" s="20" t="s">
        <v>38</v>
      </c>
      <c r="E173" s="6"/>
      <c r="F173" s="21"/>
      <c r="G173" s="49"/>
      <c r="H173" s="49"/>
      <c r="I173" s="7" t="s">
        <v>39</v>
      </c>
      <c r="J173" s="8" t="s">
        <v>78</v>
      </c>
    </row>
    <row r="174" spans="1:10" ht="15.75" x14ac:dyDescent="0.25">
      <c r="A174" s="198" t="s">
        <v>44</v>
      </c>
      <c r="B174" s="192"/>
      <c r="C174" s="24"/>
      <c r="D174" s="23">
        <v>578.66999999999996</v>
      </c>
      <c r="E174" s="23"/>
      <c r="F174" s="24"/>
      <c r="G174" s="11"/>
      <c r="H174" s="49"/>
      <c r="I174" s="12">
        <f>ROUND(SUM(D174),2)</f>
        <v>578.66999999999996</v>
      </c>
      <c r="J174" s="218"/>
    </row>
    <row r="175" spans="1:10" ht="15.75" x14ac:dyDescent="0.25">
      <c r="A175" s="193" t="s">
        <v>12</v>
      </c>
      <c r="B175" s="194"/>
      <c r="C175" s="194"/>
      <c r="D175" s="194"/>
      <c r="E175" s="194"/>
      <c r="F175" s="194"/>
      <c r="G175" s="194"/>
      <c r="H175" s="195"/>
      <c r="I175" s="13">
        <f>ROUND(SUM(I174:I174),2)</f>
        <v>578.66999999999996</v>
      </c>
      <c r="J175" s="219"/>
    </row>
    <row r="176" spans="1:10" ht="15.75" x14ac:dyDescent="0.25">
      <c r="A176" s="46"/>
      <c r="B176" s="47"/>
      <c r="C176" s="29"/>
      <c r="D176" s="29"/>
      <c r="E176" s="29"/>
      <c r="F176" s="29"/>
      <c r="G176" s="29"/>
      <c r="H176" s="29"/>
      <c r="I176" s="30"/>
      <c r="J176" s="31"/>
    </row>
    <row r="177" spans="1:10" ht="15.75" x14ac:dyDescent="0.25">
      <c r="A177" s="60" t="s">
        <v>4</v>
      </c>
      <c r="B177" s="241" t="s">
        <v>162</v>
      </c>
      <c r="C177" s="231"/>
      <c r="D177" s="232" t="s">
        <v>307</v>
      </c>
      <c r="E177" s="232"/>
      <c r="F177" s="232"/>
      <c r="G177" s="232"/>
      <c r="H177" s="232"/>
      <c r="I177" s="232"/>
      <c r="J177" s="232"/>
    </row>
    <row r="178" spans="1:10" ht="15.75" x14ac:dyDescent="0.25">
      <c r="A178" s="60" t="s">
        <v>6</v>
      </c>
      <c r="B178" s="241"/>
      <c r="C178" s="230"/>
      <c r="D178" s="232"/>
      <c r="E178" s="232"/>
      <c r="F178" s="232"/>
      <c r="G178" s="232"/>
      <c r="H178" s="232"/>
      <c r="I178" s="232"/>
      <c r="J178" s="232"/>
    </row>
    <row r="179" spans="1:10" ht="15.75" x14ac:dyDescent="0.25">
      <c r="A179" s="167" t="s">
        <v>7</v>
      </c>
      <c r="B179" s="167"/>
      <c r="C179" s="57" t="s">
        <v>7</v>
      </c>
      <c r="D179" s="20" t="s">
        <v>38</v>
      </c>
      <c r="E179" s="20"/>
      <c r="F179" s="21"/>
      <c r="G179" s="57"/>
      <c r="H179" s="57"/>
      <c r="I179" s="21" t="s">
        <v>39</v>
      </c>
      <c r="J179" s="57" t="s">
        <v>78</v>
      </c>
    </row>
    <row r="180" spans="1:10" ht="15.75" x14ac:dyDescent="0.25">
      <c r="A180" s="192" t="str">
        <f>A192</f>
        <v>CORTINAS</v>
      </c>
      <c r="B180" s="192"/>
      <c r="C180" s="24"/>
      <c r="D180" s="56">
        <v>1709.84</v>
      </c>
      <c r="E180" s="20"/>
      <c r="F180" s="21"/>
      <c r="G180" s="57"/>
      <c r="H180" s="57"/>
      <c r="I180" s="25">
        <f>ROUND(SUM(D180),2)</f>
        <v>1709.84</v>
      </c>
      <c r="J180" s="167"/>
    </row>
    <row r="181" spans="1:10" ht="15.75" x14ac:dyDescent="0.25">
      <c r="A181" s="236" t="s">
        <v>12</v>
      </c>
      <c r="B181" s="236"/>
      <c r="C181" s="236"/>
      <c r="D181" s="236"/>
      <c r="E181" s="236"/>
      <c r="F181" s="236"/>
      <c r="G181" s="236"/>
      <c r="H181" s="236"/>
      <c r="I181" s="13">
        <f>ROUND(SUM(I180:I180),2)</f>
        <v>1709.84</v>
      </c>
      <c r="J181" s="167"/>
    </row>
    <row r="182" spans="1:10" ht="15.75" x14ac:dyDescent="0.25">
      <c r="A182" s="207"/>
      <c r="B182" s="208"/>
      <c r="C182" s="208"/>
      <c r="D182" s="208"/>
      <c r="E182" s="208"/>
      <c r="F182" s="208"/>
      <c r="G182" s="208"/>
      <c r="H182" s="208"/>
      <c r="I182" s="208"/>
      <c r="J182" s="209"/>
    </row>
    <row r="183" spans="1:10" ht="15.75" x14ac:dyDescent="0.25">
      <c r="A183" s="60" t="s">
        <v>4</v>
      </c>
      <c r="B183" s="241" t="s">
        <v>163</v>
      </c>
      <c r="C183" s="231"/>
      <c r="D183" s="232" t="s">
        <v>308</v>
      </c>
      <c r="E183" s="232"/>
      <c r="F183" s="232"/>
      <c r="G183" s="232"/>
      <c r="H183" s="232"/>
      <c r="I183" s="232"/>
      <c r="J183" s="232"/>
    </row>
    <row r="184" spans="1:10" ht="15.75" x14ac:dyDescent="0.25">
      <c r="A184" s="60" t="s">
        <v>6</v>
      </c>
      <c r="B184" s="241"/>
      <c r="C184" s="230"/>
      <c r="D184" s="232"/>
      <c r="E184" s="232"/>
      <c r="F184" s="232"/>
      <c r="G184" s="232"/>
      <c r="H184" s="232"/>
      <c r="I184" s="232"/>
      <c r="J184" s="232"/>
    </row>
    <row r="185" spans="1:10" ht="15.75" x14ac:dyDescent="0.25">
      <c r="A185" s="167" t="s">
        <v>7</v>
      </c>
      <c r="B185" s="167"/>
      <c r="C185" s="57" t="s">
        <v>7</v>
      </c>
      <c r="D185" s="20" t="s">
        <v>38</v>
      </c>
      <c r="E185" s="20"/>
      <c r="F185" s="21"/>
      <c r="G185" s="57"/>
      <c r="H185" s="57"/>
      <c r="I185" s="21" t="s">
        <v>39</v>
      </c>
      <c r="J185" s="57" t="s">
        <v>78</v>
      </c>
    </row>
    <row r="186" spans="1:10" ht="15.75" x14ac:dyDescent="0.25">
      <c r="A186" s="192" t="str">
        <f>A180</f>
        <v>CORTINAS</v>
      </c>
      <c r="B186" s="192"/>
      <c r="C186" s="24"/>
      <c r="D186" s="56">
        <v>862.63</v>
      </c>
      <c r="E186" s="20"/>
      <c r="F186" s="21"/>
      <c r="G186" s="57"/>
      <c r="H186" s="57"/>
      <c r="I186" s="25">
        <f>ROUND(SUM(D186),2)</f>
        <v>862.63</v>
      </c>
      <c r="J186" s="167"/>
    </row>
    <row r="187" spans="1:10" ht="15.75" x14ac:dyDescent="0.25">
      <c r="A187" s="236" t="s">
        <v>12</v>
      </c>
      <c r="B187" s="236"/>
      <c r="C187" s="236"/>
      <c r="D187" s="236"/>
      <c r="E187" s="236"/>
      <c r="F187" s="236"/>
      <c r="G187" s="236"/>
      <c r="H187" s="236"/>
      <c r="I187" s="13">
        <f>ROUND(SUM(I186:I186),2)</f>
        <v>862.63</v>
      </c>
      <c r="J187" s="167"/>
    </row>
    <row r="188" spans="1:10" ht="15.75" x14ac:dyDescent="0.25">
      <c r="A188" s="207"/>
      <c r="B188" s="208"/>
      <c r="C188" s="208"/>
      <c r="D188" s="208"/>
      <c r="E188" s="208"/>
      <c r="F188" s="208"/>
      <c r="G188" s="208"/>
      <c r="H188" s="208"/>
      <c r="I188" s="208"/>
      <c r="J188" s="209"/>
    </row>
    <row r="189" spans="1:10" ht="15.75" x14ac:dyDescent="0.25">
      <c r="A189" s="5" t="s">
        <v>4</v>
      </c>
      <c r="B189" s="196" t="s">
        <v>164</v>
      </c>
      <c r="C189" s="199"/>
      <c r="D189" s="201" t="s">
        <v>98</v>
      </c>
      <c r="E189" s="202"/>
      <c r="F189" s="202"/>
      <c r="G189" s="202"/>
      <c r="H189" s="202"/>
      <c r="I189" s="202"/>
      <c r="J189" s="203"/>
    </row>
    <row r="190" spans="1:10" ht="15.75" x14ac:dyDescent="0.25">
      <c r="A190" s="5" t="s">
        <v>6</v>
      </c>
      <c r="B190" s="197"/>
      <c r="C190" s="200"/>
      <c r="D190" s="204"/>
      <c r="E190" s="205"/>
      <c r="F190" s="205"/>
      <c r="G190" s="205"/>
      <c r="H190" s="205"/>
      <c r="I190" s="205"/>
      <c r="J190" s="206"/>
    </row>
    <row r="191" spans="1:10" ht="15.75" x14ac:dyDescent="0.25">
      <c r="A191" s="216" t="s">
        <v>7</v>
      </c>
      <c r="B191" s="217"/>
      <c r="C191" s="49" t="s">
        <v>7</v>
      </c>
      <c r="D191" s="20" t="s">
        <v>38</v>
      </c>
      <c r="E191" s="6"/>
      <c r="F191" s="21"/>
      <c r="G191" s="49"/>
      <c r="H191" s="49"/>
      <c r="I191" s="7" t="s">
        <v>39</v>
      </c>
      <c r="J191" s="8" t="s">
        <v>78</v>
      </c>
    </row>
    <row r="192" spans="1:10" ht="15.75" x14ac:dyDescent="0.25">
      <c r="A192" s="190" t="s">
        <v>103</v>
      </c>
      <c r="B192" s="191"/>
      <c r="C192" s="24"/>
      <c r="D192" s="48">
        <f>'RESUMO DE AÇO '!G76</f>
        <v>98.87</v>
      </c>
      <c r="E192" s="6"/>
      <c r="F192" s="21"/>
      <c r="G192" s="49"/>
      <c r="H192" s="49"/>
      <c r="I192" s="12">
        <f>ROUND(SUM(D192),2)</f>
        <v>98.87</v>
      </c>
      <c r="J192" s="225"/>
    </row>
    <row r="193" spans="1:10" ht="15.75" x14ac:dyDescent="0.25">
      <c r="A193" s="198" t="s">
        <v>44</v>
      </c>
      <c r="B193" s="192"/>
      <c r="C193" s="24"/>
      <c r="D193" s="23">
        <f>'RESUMO DE AÇO '!G34</f>
        <v>1371</v>
      </c>
      <c r="E193" s="23"/>
      <c r="F193" s="24"/>
      <c r="G193" s="11"/>
      <c r="H193" s="49"/>
      <c r="I193" s="12">
        <f>ROUND(SUM(D193),2)</f>
        <v>1371</v>
      </c>
      <c r="J193" s="218"/>
    </row>
    <row r="194" spans="1:10" ht="15.75" x14ac:dyDescent="0.25">
      <c r="A194" s="193" t="s">
        <v>12</v>
      </c>
      <c r="B194" s="194"/>
      <c r="C194" s="194"/>
      <c r="D194" s="194"/>
      <c r="E194" s="194"/>
      <c r="F194" s="194"/>
      <c r="G194" s="194"/>
      <c r="H194" s="195"/>
      <c r="I194" s="13">
        <f>ROUND(SUM(I192:I193),2)</f>
        <v>1469.87</v>
      </c>
      <c r="J194" s="219"/>
    </row>
    <row r="195" spans="1:10" ht="15.75" x14ac:dyDescent="0.25">
      <c r="A195" s="210"/>
      <c r="B195" s="208"/>
      <c r="C195" s="208"/>
      <c r="D195" s="208"/>
      <c r="E195" s="208"/>
      <c r="F195" s="208"/>
      <c r="G195" s="208"/>
      <c r="H195" s="208"/>
      <c r="I195" s="208"/>
      <c r="J195" s="211"/>
    </row>
    <row r="196" spans="1:10" ht="15.75" x14ac:dyDescent="0.25">
      <c r="A196" s="60" t="s">
        <v>4</v>
      </c>
      <c r="B196" s="241" t="s">
        <v>165</v>
      </c>
      <c r="C196" s="231"/>
      <c r="D196" s="232" t="s">
        <v>101</v>
      </c>
      <c r="E196" s="232"/>
      <c r="F196" s="232"/>
      <c r="G196" s="232"/>
      <c r="H196" s="232"/>
      <c r="I196" s="232"/>
      <c r="J196" s="232"/>
    </row>
    <row r="197" spans="1:10" ht="15.75" x14ac:dyDescent="0.25">
      <c r="A197" s="60" t="s">
        <v>6</v>
      </c>
      <c r="B197" s="241"/>
      <c r="C197" s="230"/>
      <c r="D197" s="232"/>
      <c r="E197" s="232"/>
      <c r="F197" s="232"/>
      <c r="G197" s="232"/>
      <c r="H197" s="232"/>
      <c r="I197" s="232"/>
      <c r="J197" s="232"/>
    </row>
    <row r="198" spans="1:10" ht="15.75" x14ac:dyDescent="0.25">
      <c r="A198" s="167" t="s">
        <v>7</v>
      </c>
      <c r="B198" s="167"/>
      <c r="C198" s="57" t="s">
        <v>7</v>
      </c>
      <c r="D198" s="20" t="s">
        <v>27</v>
      </c>
      <c r="E198" s="6" t="s">
        <v>37</v>
      </c>
      <c r="F198" s="57" t="s">
        <v>143</v>
      </c>
      <c r="G198" s="58" t="s">
        <v>319</v>
      </c>
      <c r="H198" s="57" t="s">
        <v>24</v>
      </c>
      <c r="I198" s="7" t="s">
        <v>29</v>
      </c>
      <c r="J198" s="57" t="s">
        <v>78</v>
      </c>
    </row>
    <row r="199" spans="1:10" ht="15.75" x14ac:dyDescent="0.25">
      <c r="A199" s="192" t="s">
        <v>186</v>
      </c>
      <c r="B199" s="192"/>
      <c r="C199" s="24"/>
      <c r="D199" s="23">
        <v>0.4</v>
      </c>
      <c r="E199" s="23">
        <v>5</v>
      </c>
      <c r="F199" s="11">
        <v>4</v>
      </c>
      <c r="G199" s="11">
        <v>2</v>
      </c>
      <c r="H199" s="11">
        <v>4</v>
      </c>
      <c r="I199" s="12">
        <f>ROUND(SUM(D199*E199*H199*F199)/G199,2)</f>
        <v>16</v>
      </c>
      <c r="J199" s="167"/>
    </row>
    <row r="200" spans="1:10" ht="15.75" x14ac:dyDescent="0.25">
      <c r="A200" s="192" t="s">
        <v>187</v>
      </c>
      <c r="B200" s="192"/>
      <c r="C200" s="24" t="s">
        <v>309</v>
      </c>
      <c r="D200" s="33">
        <f>1+0.6+0.6</f>
        <v>2.2000000000000002</v>
      </c>
      <c r="E200" s="33">
        <v>4.67</v>
      </c>
      <c r="F200" s="11">
        <v>1</v>
      </c>
      <c r="G200" s="11">
        <v>2</v>
      </c>
      <c r="H200" s="11">
        <v>4</v>
      </c>
      <c r="I200" s="12">
        <f t="shared" ref="I200:I201" si="11">ROUND(SUM(D200*E200*H200*F200)/G200,2)</f>
        <v>20.55</v>
      </c>
      <c r="J200" s="167"/>
    </row>
    <row r="201" spans="1:10" ht="15.75" x14ac:dyDescent="0.25">
      <c r="A201" s="192" t="s">
        <v>188</v>
      </c>
      <c r="B201" s="192"/>
      <c r="C201" s="24"/>
      <c r="D201" s="33">
        <v>1.22</v>
      </c>
      <c r="E201" s="33">
        <v>4.67</v>
      </c>
      <c r="F201" s="11">
        <v>4</v>
      </c>
      <c r="G201" s="11">
        <v>2</v>
      </c>
      <c r="H201" s="11">
        <v>2</v>
      </c>
      <c r="I201" s="12">
        <f t="shared" si="11"/>
        <v>22.79</v>
      </c>
      <c r="J201" s="167"/>
    </row>
    <row r="202" spans="1:10" ht="15.75" x14ac:dyDescent="0.25">
      <c r="A202" s="236" t="s">
        <v>12</v>
      </c>
      <c r="B202" s="236"/>
      <c r="C202" s="236"/>
      <c r="D202" s="236"/>
      <c r="E202" s="236"/>
      <c r="F202" s="236"/>
      <c r="G202" s="236"/>
      <c r="H202" s="236"/>
      <c r="I202" s="13">
        <f>ROUND(SUM(I199:I201),2)</f>
        <v>59.34</v>
      </c>
      <c r="J202" s="167"/>
    </row>
    <row r="203" spans="1:10" ht="15.75" x14ac:dyDescent="0.25">
      <c r="A203" s="46"/>
      <c r="B203" s="47"/>
      <c r="C203" s="29"/>
      <c r="D203" s="29"/>
      <c r="E203" s="29"/>
      <c r="F203" s="29"/>
      <c r="G203" s="29"/>
      <c r="H203" s="29"/>
      <c r="I203" s="30"/>
      <c r="J203" s="31"/>
    </row>
    <row r="204" spans="1:10" ht="15.75" x14ac:dyDescent="0.25">
      <c r="A204" s="5" t="s">
        <v>4</v>
      </c>
      <c r="B204" s="196" t="s">
        <v>166</v>
      </c>
      <c r="C204" s="199"/>
      <c r="D204" s="201" t="s">
        <v>102</v>
      </c>
      <c r="E204" s="202"/>
      <c r="F204" s="202"/>
      <c r="G204" s="202"/>
      <c r="H204" s="202"/>
      <c r="I204" s="202"/>
      <c r="J204" s="203"/>
    </row>
    <row r="205" spans="1:10" ht="15.75" x14ac:dyDescent="0.25">
      <c r="A205" s="5" t="s">
        <v>6</v>
      </c>
      <c r="B205" s="197"/>
      <c r="C205" s="200"/>
      <c r="D205" s="204"/>
      <c r="E205" s="205"/>
      <c r="F205" s="205"/>
      <c r="G205" s="205"/>
      <c r="H205" s="205"/>
      <c r="I205" s="205"/>
      <c r="J205" s="206"/>
    </row>
    <row r="206" spans="1:10" ht="31.5" customHeight="1" x14ac:dyDescent="0.25">
      <c r="A206" s="216" t="s">
        <v>7</v>
      </c>
      <c r="B206" s="217"/>
      <c r="C206" s="49" t="s">
        <v>7</v>
      </c>
      <c r="D206" s="20" t="s">
        <v>11</v>
      </c>
      <c r="E206" s="6" t="s">
        <v>220</v>
      </c>
      <c r="F206" s="102" t="s">
        <v>319</v>
      </c>
      <c r="G206" s="49"/>
      <c r="H206" s="49" t="s">
        <v>24</v>
      </c>
      <c r="I206" s="7" t="s">
        <v>29</v>
      </c>
      <c r="J206" s="8" t="s">
        <v>78</v>
      </c>
    </row>
    <row r="207" spans="1:10" ht="15.75" x14ac:dyDescent="0.25">
      <c r="A207" s="198" t="s">
        <v>45</v>
      </c>
      <c r="B207" s="192"/>
      <c r="C207" s="24"/>
      <c r="D207" s="32">
        <f>G215-(2.2*4.67)</f>
        <v>51.225999999999999</v>
      </c>
      <c r="E207" s="32">
        <v>2</v>
      </c>
      <c r="F207" s="11">
        <v>2</v>
      </c>
      <c r="G207" s="11"/>
      <c r="H207" s="11">
        <v>2</v>
      </c>
      <c r="I207" s="12">
        <f>ROUND(SUM(D207*H207*E207)/2,2)</f>
        <v>102.45</v>
      </c>
      <c r="J207" s="218"/>
    </row>
    <row r="208" spans="1:10" ht="15.75" x14ac:dyDescent="0.25">
      <c r="A208" s="193" t="s">
        <v>12</v>
      </c>
      <c r="B208" s="194"/>
      <c r="C208" s="194"/>
      <c r="D208" s="194"/>
      <c r="E208" s="194"/>
      <c r="F208" s="194"/>
      <c r="G208" s="194"/>
      <c r="H208" s="195"/>
      <c r="I208" s="13">
        <f>ROUND(SUM(I207:I207),2)</f>
        <v>102.45</v>
      </c>
      <c r="J208" s="219"/>
    </row>
    <row r="209" spans="1:13" ht="15.75" x14ac:dyDescent="0.25">
      <c r="A209" s="46"/>
      <c r="B209" s="47"/>
      <c r="C209" s="29"/>
      <c r="D209" s="29"/>
      <c r="E209" s="29"/>
      <c r="F209" s="29"/>
      <c r="G209" s="29"/>
      <c r="H209" s="29"/>
      <c r="I209" s="30"/>
      <c r="J209" s="31"/>
    </row>
    <row r="210" spans="1:13" ht="15.75" x14ac:dyDescent="0.25">
      <c r="A210" s="5" t="s">
        <v>4</v>
      </c>
      <c r="B210" s="196" t="s">
        <v>167</v>
      </c>
      <c r="C210" s="199"/>
      <c r="D210" s="201" t="s">
        <v>169</v>
      </c>
      <c r="E210" s="202"/>
      <c r="F210" s="202"/>
      <c r="G210" s="202"/>
      <c r="H210" s="202"/>
      <c r="I210" s="202"/>
      <c r="J210" s="203"/>
    </row>
    <row r="211" spans="1:13" ht="15.75" x14ac:dyDescent="0.25">
      <c r="A211" s="5" t="s">
        <v>6</v>
      </c>
      <c r="B211" s="197"/>
      <c r="C211" s="200"/>
      <c r="D211" s="204"/>
      <c r="E211" s="205"/>
      <c r="F211" s="205"/>
      <c r="G211" s="205"/>
      <c r="H211" s="205"/>
      <c r="I211" s="205"/>
      <c r="J211" s="206"/>
    </row>
    <row r="212" spans="1:13" ht="31.5" customHeight="1" x14ac:dyDescent="0.25">
      <c r="A212" s="216" t="s">
        <v>7</v>
      </c>
      <c r="B212" s="217"/>
      <c r="C212" s="49" t="s">
        <v>7</v>
      </c>
      <c r="D212" s="20" t="s">
        <v>27</v>
      </c>
      <c r="E212" s="6" t="s">
        <v>28</v>
      </c>
      <c r="F212" s="21" t="s">
        <v>23</v>
      </c>
      <c r="G212" s="57" t="s">
        <v>11</v>
      </c>
      <c r="H212" s="57" t="s">
        <v>24</v>
      </c>
      <c r="I212" s="7" t="s">
        <v>46</v>
      </c>
      <c r="J212" s="8" t="s">
        <v>78</v>
      </c>
    </row>
    <row r="213" spans="1:13" ht="15.75" x14ac:dyDescent="0.25">
      <c r="A213" s="190" t="str">
        <f>A200</f>
        <v>PILARES 100X100X467</v>
      </c>
      <c r="B213" s="191"/>
      <c r="C213" s="24" t="s">
        <v>168</v>
      </c>
      <c r="D213" s="23">
        <v>0.6</v>
      </c>
      <c r="E213" s="23">
        <v>1</v>
      </c>
      <c r="F213" s="11">
        <v>4.67</v>
      </c>
      <c r="G213" s="11"/>
      <c r="H213" s="11">
        <v>4</v>
      </c>
      <c r="I213" s="25">
        <f>ROUND(SUM(D213*E213*F213*H213),2)</f>
        <v>11.21</v>
      </c>
      <c r="J213" s="212" t="s">
        <v>345</v>
      </c>
    </row>
    <row r="214" spans="1:13" ht="15.75" x14ac:dyDescent="0.25">
      <c r="A214" s="190" t="str">
        <f>A201</f>
        <v>PILARES 122X122/467</v>
      </c>
      <c r="B214" s="191"/>
      <c r="C214" s="24"/>
      <c r="D214" s="23">
        <v>1.22</v>
      </c>
      <c r="E214" s="23">
        <v>1.22</v>
      </c>
      <c r="F214" s="11">
        <v>4.67</v>
      </c>
      <c r="G214" s="11"/>
      <c r="H214" s="11">
        <v>2</v>
      </c>
      <c r="I214" s="25">
        <f t="shared" ref="I214" si="12">ROUND(SUM(D214*E214*F214*H214),2)</f>
        <v>13.9</v>
      </c>
      <c r="J214" s="213"/>
      <c r="M214">
        <f>1-0.4</f>
        <v>0.6</v>
      </c>
    </row>
    <row r="215" spans="1:13" ht="15.75" x14ac:dyDescent="0.25">
      <c r="A215" s="198" t="s">
        <v>189</v>
      </c>
      <c r="B215" s="192"/>
      <c r="C215" s="50"/>
      <c r="D215" s="23"/>
      <c r="E215" s="23">
        <v>0.4</v>
      </c>
      <c r="F215" s="11"/>
      <c r="G215" s="11">
        <v>61.5</v>
      </c>
      <c r="H215" s="11">
        <f>H207</f>
        <v>2</v>
      </c>
      <c r="I215" s="25">
        <f>ROUND(SUM(E215*G215*H215),2)</f>
        <v>49.2</v>
      </c>
      <c r="J215" s="213"/>
      <c r="K215" s="51">
        <f>I153+I207</f>
        <v>107.69</v>
      </c>
    </row>
    <row r="216" spans="1:13" ht="27.75" customHeight="1" x14ac:dyDescent="0.25">
      <c r="A216" s="193" t="s">
        <v>12</v>
      </c>
      <c r="B216" s="194"/>
      <c r="C216" s="194"/>
      <c r="D216" s="194"/>
      <c r="E216" s="194"/>
      <c r="F216" s="194"/>
      <c r="G216" s="194"/>
      <c r="H216" s="195"/>
      <c r="I216" s="13">
        <f>ROUND(SUM(I213:I215),2)</f>
        <v>74.31</v>
      </c>
      <c r="J216" s="214"/>
    </row>
    <row r="217" spans="1:13" ht="15.75" x14ac:dyDescent="0.25">
      <c r="A217" s="46"/>
      <c r="B217" s="47"/>
      <c r="C217" s="29"/>
      <c r="D217" s="29"/>
      <c r="E217" s="29"/>
      <c r="F217" s="29"/>
      <c r="G217" s="29"/>
      <c r="H217" s="29"/>
      <c r="I217" s="30"/>
      <c r="J217" s="31"/>
    </row>
    <row r="218" spans="1:13" ht="15.75" x14ac:dyDescent="0.25">
      <c r="A218" s="1" t="s">
        <v>119</v>
      </c>
      <c r="B218" s="222" t="s">
        <v>47</v>
      </c>
      <c r="C218" s="223"/>
      <c r="D218" s="223"/>
      <c r="E218" s="223"/>
      <c r="F218" s="223"/>
      <c r="G218" s="223"/>
      <c r="H218" s="223"/>
      <c r="I218" s="223"/>
      <c r="J218" s="224"/>
    </row>
    <row r="219" spans="1:13" ht="15.75" x14ac:dyDescent="0.25">
      <c r="A219" s="5" t="s">
        <v>4</v>
      </c>
      <c r="B219" s="196" t="s">
        <v>120</v>
      </c>
      <c r="C219" s="199"/>
      <c r="D219" s="201" t="s">
        <v>110</v>
      </c>
      <c r="E219" s="202"/>
      <c r="F219" s="202"/>
      <c r="G219" s="202"/>
      <c r="H219" s="202"/>
      <c r="I219" s="202"/>
      <c r="J219" s="203"/>
    </row>
    <row r="220" spans="1:13" ht="15.75" customHeight="1" x14ac:dyDescent="0.25">
      <c r="A220" s="5" t="s">
        <v>6</v>
      </c>
      <c r="B220" s="197"/>
      <c r="C220" s="200"/>
      <c r="D220" s="204"/>
      <c r="E220" s="205"/>
      <c r="F220" s="205"/>
      <c r="G220" s="205"/>
      <c r="H220" s="205"/>
      <c r="I220" s="205"/>
      <c r="J220" s="206"/>
    </row>
    <row r="221" spans="1:13" ht="15.75" x14ac:dyDescent="0.25">
      <c r="A221" s="216" t="s">
        <v>7</v>
      </c>
      <c r="B221" s="217"/>
      <c r="C221" s="49" t="s">
        <v>7</v>
      </c>
      <c r="D221" s="20" t="s">
        <v>27</v>
      </c>
      <c r="E221" s="6" t="s">
        <v>48</v>
      </c>
      <c r="F221" s="21"/>
      <c r="G221" s="49"/>
      <c r="H221" s="49" t="s">
        <v>24</v>
      </c>
      <c r="I221" s="7" t="s">
        <v>49</v>
      </c>
      <c r="J221" s="8" t="s">
        <v>78</v>
      </c>
      <c r="K221" s="51" t="e">
        <f>I215+#REF!</f>
        <v>#REF!</v>
      </c>
    </row>
    <row r="222" spans="1:13" ht="15.75" x14ac:dyDescent="0.25">
      <c r="A222" s="198" t="s">
        <v>190</v>
      </c>
      <c r="B222" s="192"/>
      <c r="C222" s="24"/>
      <c r="D222" s="23">
        <v>12</v>
      </c>
      <c r="E222" s="23">
        <v>140</v>
      </c>
      <c r="F222" s="11"/>
      <c r="G222" s="11">
        <f>D222*E222</f>
        <v>1680</v>
      </c>
      <c r="H222" s="11"/>
      <c r="I222" s="25">
        <f>ROUND(SUM(D222*E222*H222),2)</f>
        <v>0</v>
      </c>
      <c r="J222" s="225"/>
    </row>
    <row r="223" spans="1:13" ht="15.75" x14ac:dyDescent="0.25">
      <c r="A223" s="198" t="s">
        <v>150</v>
      </c>
      <c r="B223" s="192"/>
      <c r="C223" s="24"/>
      <c r="D223" s="23">
        <v>2.6</v>
      </c>
      <c r="E223" s="23">
        <v>22.3</v>
      </c>
      <c r="F223" s="11"/>
      <c r="G223" s="11"/>
      <c r="H223" s="11"/>
      <c r="I223" s="25">
        <f t="shared" ref="I223:I225" si="13">ROUND(SUM(D223*E223*H223),2)</f>
        <v>0</v>
      </c>
      <c r="J223" s="218"/>
    </row>
    <row r="224" spans="1:13" ht="15.75" x14ac:dyDescent="0.25">
      <c r="A224" s="198" t="s">
        <v>108</v>
      </c>
      <c r="B224" s="192"/>
      <c r="C224" s="24" t="s">
        <v>50</v>
      </c>
      <c r="D224" s="34">
        <f>ROUND(((0.617*0.23/2)*0.00436),8)</f>
        <v>3.0936000000000001E-4</v>
      </c>
      <c r="E224" s="23">
        <v>7850</v>
      </c>
      <c r="F224" s="24"/>
      <c r="G224" s="11"/>
      <c r="H224" s="11">
        <v>12</v>
      </c>
      <c r="I224" s="25">
        <f t="shared" si="13"/>
        <v>29.14</v>
      </c>
      <c r="J224" s="218"/>
    </row>
    <row r="225" spans="1:10" ht="15.75" x14ac:dyDescent="0.25">
      <c r="A225" s="198" t="s">
        <v>109</v>
      </c>
      <c r="B225" s="192"/>
      <c r="C225" s="24"/>
      <c r="D225" s="23">
        <v>0.18</v>
      </c>
      <c r="E225" s="23">
        <v>8</v>
      </c>
      <c r="F225" s="11"/>
      <c r="G225" s="11"/>
      <c r="H225" s="11">
        <v>192</v>
      </c>
      <c r="I225" s="25">
        <f t="shared" si="13"/>
        <v>276.48</v>
      </c>
      <c r="J225" s="218"/>
    </row>
    <row r="226" spans="1:10" ht="15.75" x14ac:dyDescent="0.25">
      <c r="A226" s="193"/>
      <c r="B226" s="194"/>
      <c r="C226" s="194"/>
      <c r="D226" s="194"/>
      <c r="E226" s="194"/>
      <c r="F226" s="194"/>
      <c r="G226" s="194"/>
      <c r="H226" s="195"/>
      <c r="I226" s="13">
        <f>ROUND(SUM(I222:I225),2)</f>
        <v>305.62</v>
      </c>
      <c r="J226" s="219"/>
    </row>
    <row r="227" spans="1:10" ht="15.75" x14ac:dyDescent="0.25">
      <c r="A227" s="46"/>
      <c r="B227" s="47"/>
      <c r="C227" s="29"/>
      <c r="D227" s="29"/>
      <c r="E227" s="29"/>
      <c r="F227" s="29"/>
      <c r="G227" s="29"/>
      <c r="H227" s="29"/>
      <c r="I227" s="30"/>
      <c r="J227" s="31"/>
    </row>
    <row r="228" spans="1:10" ht="15.75" x14ac:dyDescent="0.25">
      <c r="A228" s="5" t="s">
        <v>4</v>
      </c>
      <c r="B228" s="196" t="s">
        <v>121</v>
      </c>
      <c r="C228" s="199"/>
      <c r="D228" s="201" t="s">
        <v>113</v>
      </c>
      <c r="E228" s="202"/>
      <c r="F228" s="202"/>
      <c r="G228" s="202"/>
      <c r="H228" s="202"/>
      <c r="I228" s="202"/>
      <c r="J228" s="203"/>
    </row>
    <row r="229" spans="1:10" ht="15.75" x14ac:dyDescent="0.25">
      <c r="A229" s="5" t="s">
        <v>6</v>
      </c>
      <c r="B229" s="197"/>
      <c r="C229" s="200"/>
      <c r="D229" s="204"/>
      <c r="E229" s="205"/>
      <c r="F229" s="205"/>
      <c r="G229" s="205"/>
      <c r="H229" s="205"/>
      <c r="I229" s="205"/>
      <c r="J229" s="206"/>
    </row>
    <row r="230" spans="1:10" ht="15.75" x14ac:dyDescent="0.25">
      <c r="A230" s="216" t="s">
        <v>7</v>
      </c>
      <c r="B230" s="217"/>
      <c r="C230" s="49" t="s">
        <v>7</v>
      </c>
      <c r="D230" s="20" t="s">
        <v>114</v>
      </c>
      <c r="E230" s="6"/>
      <c r="F230" s="21"/>
      <c r="G230" s="49"/>
      <c r="H230" s="49" t="s">
        <v>24</v>
      </c>
      <c r="I230" s="7" t="s">
        <v>115</v>
      </c>
      <c r="J230" s="8" t="s">
        <v>78</v>
      </c>
    </row>
    <row r="231" spans="1:10" ht="15.75" x14ac:dyDescent="0.25">
      <c r="A231" s="190"/>
      <c r="B231" s="191"/>
      <c r="C231" s="24" t="s">
        <v>51</v>
      </c>
      <c r="D231" s="23">
        <v>1</v>
      </c>
      <c r="E231" s="23"/>
      <c r="F231" s="24"/>
      <c r="G231" s="11"/>
      <c r="H231" s="11">
        <v>1</v>
      </c>
      <c r="I231" s="25">
        <f>ROUND(SUM(D231*H231),2)</f>
        <v>1</v>
      </c>
      <c r="J231" s="227"/>
    </row>
    <row r="232" spans="1:10" ht="15.75" x14ac:dyDescent="0.25">
      <c r="A232" s="193" t="s">
        <v>12</v>
      </c>
      <c r="B232" s="194"/>
      <c r="C232" s="194"/>
      <c r="D232" s="194"/>
      <c r="E232" s="194"/>
      <c r="F232" s="194"/>
      <c r="G232" s="194"/>
      <c r="H232" s="195"/>
      <c r="I232" s="13">
        <f>ROUND(SUM(I231),2)</f>
        <v>1</v>
      </c>
      <c r="J232" s="228"/>
    </row>
    <row r="233" spans="1:10" ht="15.75" x14ac:dyDescent="0.25">
      <c r="A233" s="46"/>
      <c r="B233" s="47"/>
      <c r="C233" s="29"/>
      <c r="D233" s="29"/>
      <c r="E233" s="29"/>
      <c r="F233" s="29"/>
      <c r="G233" s="29"/>
      <c r="H233" s="29"/>
      <c r="I233" s="35"/>
      <c r="J233" s="31"/>
    </row>
    <row r="234" spans="1:10" ht="15.75" x14ac:dyDescent="0.25">
      <c r="A234" s="5" t="s">
        <v>4</v>
      </c>
      <c r="B234" s="196" t="s">
        <v>122</v>
      </c>
      <c r="C234" s="199"/>
      <c r="D234" s="201" t="str">
        <f>'[1]Planilha Orcamentária'!C45</f>
        <v>TRANSPORTE DE VIGA OU TABULEIRO PARA PONTE (CUSTO VARIÁVEL), EXCLUSIVE FORNECIMENTO, DESCARGA E CUSTO FIXO DE TRANSPORTE</v>
      </c>
      <c r="E234" s="202"/>
      <c r="F234" s="202"/>
      <c r="G234" s="202"/>
      <c r="H234" s="202"/>
      <c r="I234" s="202"/>
      <c r="J234" s="203"/>
    </row>
    <row r="235" spans="1:10" ht="15.75" x14ac:dyDescent="0.25">
      <c r="A235" s="5" t="s">
        <v>6</v>
      </c>
      <c r="B235" s="197"/>
      <c r="C235" s="200"/>
      <c r="D235" s="204"/>
      <c r="E235" s="205"/>
      <c r="F235" s="205"/>
      <c r="G235" s="205"/>
      <c r="H235" s="205"/>
      <c r="I235" s="205"/>
      <c r="J235" s="206"/>
    </row>
    <row r="236" spans="1:10" ht="15.75" x14ac:dyDescent="0.25">
      <c r="A236" s="216" t="s">
        <v>7</v>
      </c>
      <c r="B236" s="217"/>
      <c r="C236" s="49" t="s">
        <v>7</v>
      </c>
      <c r="D236" s="20" t="s">
        <v>27</v>
      </c>
      <c r="E236" s="6" t="s">
        <v>48</v>
      </c>
      <c r="F236" s="20" t="s">
        <v>52</v>
      </c>
      <c r="G236" s="21" t="s">
        <v>53</v>
      </c>
      <c r="H236" s="49" t="s">
        <v>24</v>
      </c>
      <c r="I236" s="7" t="s">
        <v>116</v>
      </c>
      <c r="J236" s="8" t="s">
        <v>78</v>
      </c>
    </row>
    <row r="237" spans="1:10" ht="15.75" x14ac:dyDescent="0.25">
      <c r="A237" s="190" t="str">
        <f>A222</f>
        <v>Longarina W610x140</v>
      </c>
      <c r="B237" s="191"/>
      <c r="C237" s="57"/>
      <c r="D237" s="23">
        <v>12</v>
      </c>
      <c r="E237" s="23">
        <v>140</v>
      </c>
      <c r="F237" s="61">
        <f>ROUND(SUM((D237*E237*4)/1000),2)</f>
        <v>6.72</v>
      </c>
      <c r="G237" s="64">
        <v>13</v>
      </c>
      <c r="H237" s="11">
        <v>1</v>
      </c>
      <c r="I237" s="25">
        <f t="shared" ref="I237:I240" si="14">ROUND(SUM(G237*F237*H237),2)</f>
        <v>87.36</v>
      </c>
      <c r="J237" s="55"/>
    </row>
    <row r="238" spans="1:10" ht="15.75" x14ac:dyDescent="0.25">
      <c r="A238" s="190" t="str">
        <f t="shared" ref="A238:A240" si="15">A223</f>
        <v>Transversina 250x22,3</v>
      </c>
      <c r="B238" s="191"/>
      <c r="C238" s="57"/>
      <c r="D238" s="23">
        <v>2.6</v>
      </c>
      <c r="E238" s="56">
        <v>22.3</v>
      </c>
      <c r="F238" s="61">
        <f>ROUND(SUM((D238*E238*6)/1000),2)</f>
        <v>0.35</v>
      </c>
      <c r="G238" s="64">
        <v>13</v>
      </c>
      <c r="H238" s="11">
        <v>1</v>
      </c>
      <c r="I238" s="25">
        <f t="shared" si="14"/>
        <v>4.55</v>
      </c>
      <c r="J238" s="55"/>
    </row>
    <row r="239" spans="1:10" ht="15.75" x14ac:dyDescent="0.25">
      <c r="A239" s="190" t="str">
        <f t="shared" si="15"/>
        <v>Chapa de Ligação Longarinas e Transversinas)</v>
      </c>
      <c r="B239" s="191"/>
      <c r="C239" s="57"/>
      <c r="D239" s="20"/>
      <c r="E239" s="20"/>
      <c r="F239" s="62">
        <f>ROUND((I224/1000),4)</f>
        <v>2.9100000000000001E-2</v>
      </c>
      <c r="G239" s="64">
        <v>13</v>
      </c>
      <c r="H239" s="11">
        <v>1</v>
      </c>
      <c r="I239" s="25">
        <f t="shared" si="14"/>
        <v>0.38</v>
      </c>
      <c r="J239" s="55"/>
    </row>
    <row r="240" spans="1:10" ht="15.75" x14ac:dyDescent="0.25">
      <c r="A240" s="190" t="str">
        <f t="shared" si="15"/>
        <v>Conectores Longarians - U102x8,0</v>
      </c>
      <c r="B240" s="191"/>
      <c r="C240" s="24"/>
      <c r="D240" s="23"/>
      <c r="E240" s="23"/>
      <c r="F240" s="63">
        <v>0.18432000000000001</v>
      </c>
      <c r="G240" s="64">
        <v>13</v>
      </c>
      <c r="H240" s="11">
        <v>1</v>
      </c>
      <c r="I240" s="25">
        <f t="shared" si="14"/>
        <v>2.4</v>
      </c>
      <c r="J240" s="227"/>
    </row>
    <row r="241" spans="1:10" ht="15.75" x14ac:dyDescent="0.25">
      <c r="A241" s="193"/>
      <c r="B241" s="194"/>
      <c r="C241" s="194"/>
      <c r="D241" s="194"/>
      <c r="E241" s="194"/>
      <c r="F241" s="194"/>
      <c r="G241" s="194"/>
      <c r="H241" s="195"/>
      <c r="I241" s="13">
        <f>SUM(I237:I240)</f>
        <v>94.69</v>
      </c>
      <c r="J241" s="228"/>
    </row>
    <row r="242" spans="1:10" ht="15.75" x14ac:dyDescent="0.25">
      <c r="A242" s="46"/>
      <c r="B242" s="47"/>
      <c r="C242" s="29"/>
      <c r="D242" s="29"/>
      <c r="E242" s="29"/>
      <c r="F242" s="29"/>
      <c r="G242" s="29"/>
      <c r="H242" s="29"/>
      <c r="I242" s="35"/>
      <c r="J242" s="31"/>
    </row>
    <row r="243" spans="1:10" ht="15.75" x14ac:dyDescent="0.25">
      <c r="A243" s="5" t="s">
        <v>4</v>
      </c>
      <c r="B243" s="196" t="s">
        <v>123</v>
      </c>
      <c r="C243" s="199"/>
      <c r="D243" s="201" t="s">
        <v>118</v>
      </c>
      <c r="E243" s="202"/>
      <c r="F243" s="202"/>
      <c r="G243" s="202"/>
      <c r="H243" s="202"/>
      <c r="I243" s="202"/>
      <c r="J243" s="203"/>
    </row>
    <row r="244" spans="1:10" ht="15.75" x14ac:dyDescent="0.25">
      <c r="A244" s="5" t="s">
        <v>6</v>
      </c>
      <c r="B244" s="197"/>
      <c r="C244" s="200"/>
      <c r="D244" s="204"/>
      <c r="E244" s="205"/>
      <c r="F244" s="205"/>
      <c r="G244" s="205"/>
      <c r="H244" s="205"/>
      <c r="I244" s="205"/>
      <c r="J244" s="206"/>
    </row>
    <row r="245" spans="1:10" ht="15.75" x14ac:dyDescent="0.25">
      <c r="A245" s="216" t="s">
        <v>7</v>
      </c>
      <c r="B245" s="217"/>
      <c r="C245" s="49" t="s">
        <v>7</v>
      </c>
      <c r="D245" s="20" t="s">
        <v>114</v>
      </c>
      <c r="E245" s="6"/>
      <c r="F245" s="21"/>
      <c r="G245" s="49"/>
      <c r="H245" s="49" t="s">
        <v>24</v>
      </c>
      <c r="I245" s="7" t="s">
        <v>115</v>
      </c>
      <c r="J245" s="8" t="s">
        <v>78</v>
      </c>
    </row>
    <row r="246" spans="1:10" ht="15.75" x14ac:dyDescent="0.25">
      <c r="A246" s="190"/>
      <c r="B246" s="191"/>
      <c r="C246" s="24" t="s">
        <v>51</v>
      </c>
      <c r="D246" s="23">
        <v>1</v>
      </c>
      <c r="E246" s="23"/>
      <c r="F246" s="24"/>
      <c r="G246" s="11"/>
      <c r="H246" s="11">
        <v>1</v>
      </c>
      <c r="I246" s="25">
        <f>ROUND(SUM(D246*H246),2)</f>
        <v>1</v>
      </c>
      <c r="J246" s="227"/>
    </row>
    <row r="247" spans="1:10" ht="15.75" x14ac:dyDescent="0.25">
      <c r="A247" s="193" t="s">
        <v>12</v>
      </c>
      <c r="B247" s="194"/>
      <c r="C247" s="194"/>
      <c r="D247" s="194"/>
      <c r="E247" s="194"/>
      <c r="F247" s="194"/>
      <c r="G247" s="194"/>
      <c r="H247" s="195"/>
      <c r="I247" s="13">
        <v>1</v>
      </c>
      <c r="J247" s="228"/>
    </row>
    <row r="248" spans="1:10" ht="15.75" x14ac:dyDescent="0.25">
      <c r="A248" s="46"/>
      <c r="B248" s="47"/>
      <c r="C248" s="29"/>
      <c r="D248" s="29"/>
      <c r="E248" s="29"/>
      <c r="F248" s="29"/>
      <c r="G248" s="29"/>
      <c r="H248" s="29"/>
      <c r="I248" s="35"/>
      <c r="J248" s="31"/>
    </row>
    <row r="249" spans="1:10" ht="15.75" x14ac:dyDescent="0.25">
      <c r="A249" s="5" t="s">
        <v>4</v>
      </c>
      <c r="B249" s="196" t="s">
        <v>124</v>
      </c>
      <c r="C249" s="199"/>
      <c r="D249" s="201" t="s">
        <v>112</v>
      </c>
      <c r="E249" s="202"/>
      <c r="F249" s="202"/>
      <c r="G249" s="202"/>
      <c r="H249" s="202"/>
      <c r="I249" s="202"/>
      <c r="J249" s="203"/>
    </row>
    <row r="250" spans="1:10" ht="15.75" x14ac:dyDescent="0.25">
      <c r="A250" s="5" t="s">
        <v>6</v>
      </c>
      <c r="B250" s="197"/>
      <c r="C250" s="200"/>
      <c r="D250" s="204"/>
      <c r="E250" s="205"/>
      <c r="F250" s="205"/>
      <c r="G250" s="205"/>
      <c r="H250" s="205"/>
      <c r="I250" s="205"/>
      <c r="J250" s="206"/>
    </row>
    <row r="251" spans="1:10" ht="15.75" x14ac:dyDescent="0.25">
      <c r="A251" s="216" t="s">
        <v>7</v>
      </c>
      <c r="B251" s="217"/>
      <c r="C251" s="49" t="s">
        <v>7</v>
      </c>
      <c r="D251" s="20" t="s">
        <v>54</v>
      </c>
      <c r="E251" s="6" t="s">
        <v>55</v>
      </c>
      <c r="F251" s="21" t="s">
        <v>56</v>
      </c>
      <c r="G251" s="49" t="s">
        <v>57</v>
      </c>
      <c r="H251" s="49" t="s">
        <v>24</v>
      </c>
      <c r="I251" s="7" t="s">
        <v>49</v>
      </c>
      <c r="J251" s="8" t="s">
        <v>78</v>
      </c>
    </row>
    <row r="252" spans="1:10" ht="15.75" x14ac:dyDescent="0.25">
      <c r="A252" s="190"/>
      <c r="B252" s="191"/>
      <c r="C252" s="24"/>
      <c r="D252" s="23">
        <f>(D222*E222*4)/2</f>
        <v>3360</v>
      </c>
      <c r="E252" s="23">
        <f>D223*E223*6</f>
        <v>347.88</v>
      </c>
      <c r="F252" s="32">
        <f>I224</f>
        <v>29.14</v>
      </c>
      <c r="G252" s="11">
        <f>I225</f>
        <v>276.48</v>
      </c>
      <c r="H252" s="11">
        <v>1</v>
      </c>
      <c r="I252" s="25">
        <f>(D252+E252+F252+G252)*H252</f>
        <v>4013.5</v>
      </c>
      <c r="J252" s="227"/>
    </row>
    <row r="253" spans="1:10" ht="15.75" x14ac:dyDescent="0.25">
      <c r="A253" s="193" t="s">
        <v>12</v>
      </c>
      <c r="B253" s="194"/>
      <c r="C253" s="194"/>
      <c r="D253" s="194"/>
      <c r="E253" s="194"/>
      <c r="F253" s="194"/>
      <c r="G253" s="194"/>
      <c r="H253" s="195"/>
      <c r="I253" s="13">
        <f>I252</f>
        <v>4013.5</v>
      </c>
      <c r="J253" s="228"/>
    </row>
    <row r="254" spans="1:10" ht="15.75" x14ac:dyDescent="0.25">
      <c r="A254" s="46"/>
      <c r="B254" s="47"/>
      <c r="C254" s="29"/>
      <c r="D254" s="29"/>
      <c r="E254" s="29"/>
      <c r="F254" s="29"/>
      <c r="G254" s="29"/>
      <c r="H254" s="29"/>
      <c r="I254" s="35"/>
      <c r="J254" s="31"/>
    </row>
    <row r="255" spans="1:10" ht="15.75" x14ac:dyDescent="0.25">
      <c r="A255" s="5" t="s">
        <v>4</v>
      </c>
      <c r="B255" s="196" t="s">
        <v>125</v>
      </c>
      <c r="C255" s="199"/>
      <c r="D255" s="201" t="s">
        <v>111</v>
      </c>
      <c r="E255" s="202"/>
      <c r="F255" s="202"/>
      <c r="G255" s="202"/>
      <c r="H255" s="202"/>
      <c r="I255" s="202"/>
      <c r="J255" s="203"/>
    </row>
    <row r="256" spans="1:10" ht="15.75" x14ac:dyDescent="0.25">
      <c r="A256" s="5" t="s">
        <v>6</v>
      </c>
      <c r="B256" s="197"/>
      <c r="C256" s="200"/>
      <c r="D256" s="204"/>
      <c r="E256" s="205"/>
      <c r="F256" s="205"/>
      <c r="G256" s="205"/>
      <c r="H256" s="205"/>
      <c r="I256" s="205"/>
      <c r="J256" s="206"/>
    </row>
    <row r="257" spans="1:10" ht="15.75" x14ac:dyDescent="0.25">
      <c r="A257" s="216" t="s">
        <v>7</v>
      </c>
      <c r="B257" s="217"/>
      <c r="C257" s="49" t="s">
        <v>7</v>
      </c>
      <c r="D257" s="20" t="s">
        <v>62</v>
      </c>
      <c r="E257" s="20" t="s">
        <v>63</v>
      </c>
      <c r="F257" s="20" t="s">
        <v>64</v>
      </c>
      <c r="G257" s="49"/>
      <c r="H257" s="49" t="s">
        <v>24</v>
      </c>
      <c r="I257" s="7" t="s">
        <v>117</v>
      </c>
      <c r="J257" s="8"/>
    </row>
    <row r="258" spans="1:10" ht="15.75" x14ac:dyDescent="0.25">
      <c r="A258" s="176"/>
      <c r="B258" s="177"/>
      <c r="C258" s="24"/>
      <c r="D258" s="23">
        <v>2.5</v>
      </c>
      <c r="E258" s="23">
        <v>3.3</v>
      </c>
      <c r="F258" s="23">
        <v>0.3</v>
      </c>
      <c r="G258" s="11"/>
      <c r="H258" s="11">
        <v>8</v>
      </c>
      <c r="I258" s="12">
        <f>ROUND(E258*H258*D258*F258,2)</f>
        <v>19.8</v>
      </c>
      <c r="J258" s="8"/>
    </row>
    <row r="259" spans="1:10" ht="15.75" x14ac:dyDescent="0.25">
      <c r="A259" s="193" t="s">
        <v>12</v>
      </c>
      <c r="B259" s="194"/>
      <c r="C259" s="194"/>
      <c r="D259" s="194"/>
      <c r="E259" s="194"/>
      <c r="F259" s="194"/>
      <c r="G259" s="194"/>
      <c r="H259" s="195"/>
      <c r="I259" s="13">
        <f>ROUND(SUM(I258:I258),2)</f>
        <v>19.8</v>
      </c>
      <c r="J259" s="14"/>
    </row>
    <row r="260" spans="1:10" ht="15.75" x14ac:dyDescent="0.25">
      <c r="A260" s="46"/>
      <c r="B260" s="47"/>
      <c r="C260" s="29"/>
      <c r="D260" s="29"/>
      <c r="E260" s="29"/>
      <c r="F260" s="29"/>
      <c r="G260" s="29"/>
      <c r="H260" s="29"/>
      <c r="I260" s="30"/>
      <c r="J260" s="31"/>
    </row>
    <row r="261" spans="1:10" ht="15.75" x14ac:dyDescent="0.25">
      <c r="A261" s="1" t="s">
        <v>131</v>
      </c>
      <c r="B261" s="222" t="s">
        <v>58</v>
      </c>
      <c r="C261" s="223"/>
      <c r="D261" s="223"/>
      <c r="E261" s="223"/>
      <c r="F261" s="223"/>
      <c r="G261" s="223"/>
      <c r="H261" s="223"/>
      <c r="I261" s="223"/>
      <c r="J261" s="224"/>
    </row>
    <row r="262" spans="1:10" ht="15.75" x14ac:dyDescent="0.25">
      <c r="A262" s="5" t="s">
        <v>4</v>
      </c>
      <c r="B262" s="196" t="s">
        <v>132</v>
      </c>
      <c r="C262" s="199"/>
      <c r="D262" s="201" t="s">
        <v>126</v>
      </c>
      <c r="E262" s="202"/>
      <c r="F262" s="202"/>
      <c r="G262" s="202"/>
      <c r="H262" s="202"/>
      <c r="I262" s="202"/>
      <c r="J262" s="203"/>
    </row>
    <row r="263" spans="1:10" ht="15.75" x14ac:dyDescent="0.25">
      <c r="A263" s="5" t="s">
        <v>6</v>
      </c>
      <c r="B263" s="197"/>
      <c r="C263" s="200"/>
      <c r="D263" s="204"/>
      <c r="E263" s="205"/>
      <c r="F263" s="205"/>
      <c r="G263" s="205"/>
      <c r="H263" s="205"/>
      <c r="I263" s="205"/>
      <c r="J263" s="206"/>
    </row>
    <row r="264" spans="1:10" ht="15.75" x14ac:dyDescent="0.25">
      <c r="A264" s="216" t="s">
        <v>7</v>
      </c>
      <c r="B264" s="217"/>
      <c r="C264" s="49" t="s">
        <v>7</v>
      </c>
      <c r="D264" s="20" t="s">
        <v>27</v>
      </c>
      <c r="E264" s="6" t="s">
        <v>59</v>
      </c>
      <c r="F264" s="6"/>
      <c r="G264" s="49"/>
      <c r="H264" s="49" t="s">
        <v>24</v>
      </c>
      <c r="I264" s="7" t="str">
        <f>I150</f>
        <v>Área Total (m²)</v>
      </c>
      <c r="J264" s="8"/>
    </row>
    <row r="265" spans="1:10" ht="15.75" x14ac:dyDescent="0.25">
      <c r="A265" s="220" t="s">
        <v>191</v>
      </c>
      <c r="B265" s="221"/>
      <c r="C265" s="24"/>
      <c r="D265" s="23">
        <v>24</v>
      </c>
      <c r="E265" s="23">
        <v>4.2</v>
      </c>
      <c r="F265" s="11"/>
      <c r="G265" s="11"/>
      <c r="H265" s="11">
        <v>1</v>
      </c>
      <c r="I265" s="12">
        <f>ROUND(SUM(D265*H265*E265),2)</f>
        <v>100.8</v>
      </c>
      <c r="J265" s="8"/>
    </row>
    <row r="266" spans="1:10" ht="15.75" x14ac:dyDescent="0.25">
      <c r="A266" s="220" t="s">
        <v>192</v>
      </c>
      <c r="B266" s="221"/>
      <c r="C266" s="24"/>
      <c r="D266" s="23">
        <v>24</v>
      </c>
      <c r="E266" s="23">
        <v>0.21</v>
      </c>
      <c r="F266" s="11"/>
      <c r="G266" s="11"/>
      <c r="H266" s="11">
        <v>2</v>
      </c>
      <c r="I266" s="12">
        <f>ROUND(SUM(D266*H266*E266),2)</f>
        <v>10.08</v>
      </c>
      <c r="J266" s="8"/>
    </row>
    <row r="267" spans="1:10" ht="15.75" x14ac:dyDescent="0.25">
      <c r="A267" s="176" t="s">
        <v>193</v>
      </c>
      <c r="B267" s="177"/>
      <c r="C267" s="24"/>
      <c r="D267" s="26">
        <v>4.2</v>
      </c>
      <c r="E267" s="23">
        <v>0.2</v>
      </c>
      <c r="F267" s="11"/>
      <c r="G267" s="11"/>
      <c r="H267" s="11">
        <v>2</v>
      </c>
      <c r="I267" s="12">
        <f t="shared" ref="I267" si="16">ROUND(SUM(D267*H267*E267),2)</f>
        <v>1.68</v>
      </c>
      <c r="J267" s="8"/>
    </row>
    <row r="268" spans="1:10" ht="15.75" x14ac:dyDescent="0.25">
      <c r="A268" s="193" t="s">
        <v>12</v>
      </c>
      <c r="B268" s="194"/>
      <c r="C268" s="194"/>
      <c r="D268" s="194"/>
      <c r="E268" s="194"/>
      <c r="F268" s="194"/>
      <c r="G268" s="194"/>
      <c r="H268" s="195"/>
      <c r="I268" s="13">
        <f>ROUND(SUM(I265:I267),2)</f>
        <v>112.56</v>
      </c>
      <c r="J268" s="14"/>
    </row>
    <row r="269" spans="1:10" ht="15.75" x14ac:dyDescent="0.25">
      <c r="A269" s="46"/>
      <c r="B269" s="47"/>
      <c r="C269" s="29"/>
      <c r="D269" s="29"/>
      <c r="E269" s="29"/>
      <c r="F269" s="29"/>
      <c r="G269" s="29"/>
      <c r="H269" s="29"/>
      <c r="I269" s="30"/>
      <c r="J269" s="31"/>
    </row>
    <row r="270" spans="1:10" ht="15.75" x14ac:dyDescent="0.25">
      <c r="A270" s="5" t="s">
        <v>4</v>
      </c>
      <c r="B270" s="196" t="s">
        <v>133</v>
      </c>
      <c r="C270" s="199"/>
      <c r="D270" s="201" t="s">
        <v>127</v>
      </c>
      <c r="E270" s="202"/>
      <c r="F270" s="202"/>
      <c r="G270" s="202"/>
      <c r="H270" s="202"/>
      <c r="I270" s="202"/>
      <c r="J270" s="203"/>
    </row>
    <row r="271" spans="1:10" ht="15.75" x14ac:dyDescent="0.25">
      <c r="A271" s="5" t="s">
        <v>6</v>
      </c>
      <c r="B271" s="197"/>
      <c r="C271" s="200"/>
      <c r="D271" s="204"/>
      <c r="E271" s="205"/>
      <c r="F271" s="205"/>
      <c r="G271" s="205"/>
      <c r="H271" s="205"/>
      <c r="I271" s="205"/>
      <c r="J271" s="206"/>
    </row>
    <row r="272" spans="1:10" ht="15.75" x14ac:dyDescent="0.25">
      <c r="A272" s="216" t="s">
        <v>7</v>
      </c>
      <c r="B272" s="217"/>
      <c r="C272" s="49" t="s">
        <v>7</v>
      </c>
      <c r="D272" s="20" t="s">
        <v>27</v>
      </c>
      <c r="E272" s="6" t="s">
        <v>59</v>
      </c>
      <c r="F272" s="6" t="s">
        <v>143</v>
      </c>
      <c r="G272" s="20" t="s">
        <v>11</v>
      </c>
      <c r="H272" s="49" t="s">
        <v>24</v>
      </c>
      <c r="I272" s="7" t="s">
        <v>29</v>
      </c>
      <c r="J272" s="8"/>
    </row>
    <row r="273" spans="1:10" ht="15.75" x14ac:dyDescent="0.25">
      <c r="A273" s="176" t="s">
        <v>141</v>
      </c>
      <c r="B273" s="177"/>
      <c r="C273" s="24"/>
      <c r="D273" s="23"/>
      <c r="E273" s="23"/>
      <c r="F273" s="11">
        <v>2</v>
      </c>
      <c r="G273" s="23">
        <v>0.17</v>
      </c>
      <c r="H273" s="11">
        <v>2</v>
      </c>
      <c r="I273" s="12">
        <f>ROUND(SUM(H273*G273*F273),2)</f>
        <v>0.68</v>
      </c>
      <c r="J273" s="8"/>
    </row>
    <row r="274" spans="1:10" ht="15.75" x14ac:dyDescent="0.25">
      <c r="A274" s="176" t="s">
        <v>142</v>
      </c>
      <c r="B274" s="177"/>
      <c r="C274" s="24"/>
      <c r="D274" s="23">
        <v>24</v>
      </c>
      <c r="E274" s="23">
        <v>0.9</v>
      </c>
      <c r="F274" s="11">
        <v>2</v>
      </c>
      <c r="G274" s="23"/>
      <c r="H274" s="11">
        <v>2</v>
      </c>
      <c r="I274" s="12">
        <f>ROUND(SUM(D274*H274*F274*E274),2)</f>
        <v>86.4</v>
      </c>
      <c r="J274" s="8"/>
    </row>
    <row r="275" spans="1:10" ht="15.75" x14ac:dyDescent="0.25">
      <c r="A275" s="193" t="s">
        <v>12</v>
      </c>
      <c r="B275" s="194"/>
      <c r="C275" s="194"/>
      <c r="D275" s="194"/>
      <c r="E275" s="194"/>
      <c r="F275" s="194"/>
      <c r="G275" s="194"/>
      <c r="H275" s="195"/>
      <c r="I275" s="13">
        <f>ROUND(SUM(I273:I274),2)</f>
        <v>87.08</v>
      </c>
      <c r="J275" s="14"/>
    </row>
    <row r="276" spans="1:10" ht="15.75" x14ac:dyDescent="0.25">
      <c r="A276" s="46"/>
      <c r="B276" s="47"/>
      <c r="C276" s="29"/>
      <c r="D276" s="29"/>
      <c r="E276" s="29"/>
      <c r="F276" s="29"/>
      <c r="G276" s="29"/>
      <c r="H276" s="29"/>
      <c r="I276" s="30"/>
      <c r="J276" s="31"/>
    </row>
    <row r="277" spans="1:10" ht="15.75" x14ac:dyDescent="0.25">
      <c r="A277" s="5" t="s">
        <v>4</v>
      </c>
      <c r="B277" s="196" t="s">
        <v>134</v>
      </c>
      <c r="C277" s="199"/>
      <c r="D277" s="201" t="s">
        <v>128</v>
      </c>
      <c r="E277" s="202"/>
      <c r="F277" s="202"/>
      <c r="G277" s="202"/>
      <c r="H277" s="202"/>
      <c r="I277" s="202"/>
      <c r="J277" s="203"/>
    </row>
    <row r="278" spans="1:10" ht="15.75" x14ac:dyDescent="0.25">
      <c r="A278" s="5" t="s">
        <v>6</v>
      </c>
      <c r="B278" s="197"/>
      <c r="C278" s="200"/>
      <c r="D278" s="204"/>
      <c r="E278" s="205"/>
      <c r="F278" s="205"/>
      <c r="G278" s="205"/>
      <c r="H278" s="205"/>
      <c r="I278" s="205"/>
      <c r="J278" s="206"/>
    </row>
    <row r="279" spans="1:10" ht="15.75" x14ac:dyDescent="0.25">
      <c r="A279" s="216" t="s">
        <v>7</v>
      </c>
      <c r="B279" s="217"/>
      <c r="C279" s="49" t="s">
        <v>7</v>
      </c>
      <c r="D279" s="20" t="s">
        <v>8</v>
      </c>
      <c r="E279" s="6"/>
      <c r="F279" s="6"/>
      <c r="G279" s="49"/>
      <c r="H279" s="49" t="s">
        <v>24</v>
      </c>
      <c r="I279" s="7" t="s">
        <v>32</v>
      </c>
      <c r="J279" s="8"/>
    </row>
    <row r="280" spans="1:10" ht="15.75" x14ac:dyDescent="0.25">
      <c r="A280" s="176" t="s">
        <v>60</v>
      </c>
      <c r="B280" s="177"/>
      <c r="C280" s="24" t="s">
        <v>61</v>
      </c>
      <c r="D280" s="23">
        <v>0.35</v>
      </c>
      <c r="E280" s="23"/>
      <c r="F280" s="11"/>
      <c r="G280" s="11"/>
      <c r="H280" s="11">
        <v>20</v>
      </c>
      <c r="I280" s="12">
        <f>ROUND(SUM(D280*H280),2)</f>
        <v>7</v>
      </c>
      <c r="J280" s="8"/>
    </row>
    <row r="281" spans="1:10" ht="15.75" x14ac:dyDescent="0.25">
      <c r="A281" s="193" t="s">
        <v>12</v>
      </c>
      <c r="B281" s="194"/>
      <c r="C281" s="194"/>
      <c r="D281" s="194"/>
      <c r="E281" s="194"/>
      <c r="F281" s="194"/>
      <c r="G281" s="194"/>
      <c r="H281" s="195"/>
      <c r="I281" s="13">
        <f>ROUND(SUM(I280:I280),2)</f>
        <v>7</v>
      </c>
      <c r="J281" s="14"/>
    </row>
    <row r="282" spans="1:10" ht="15.75" x14ac:dyDescent="0.25">
      <c r="A282" s="46"/>
      <c r="B282" s="47"/>
      <c r="C282" s="29"/>
      <c r="D282" s="29"/>
      <c r="E282" s="29"/>
      <c r="F282" s="29"/>
      <c r="G282" s="29"/>
      <c r="H282" s="29"/>
      <c r="I282" s="30"/>
      <c r="J282" s="31"/>
    </row>
    <row r="283" spans="1:10" ht="15.75" x14ac:dyDescent="0.25">
      <c r="A283" s="5" t="s">
        <v>4</v>
      </c>
      <c r="B283" s="196" t="s">
        <v>135</v>
      </c>
      <c r="C283" s="199"/>
      <c r="D283" s="201" t="s">
        <v>129</v>
      </c>
      <c r="E283" s="202"/>
      <c r="F283" s="202"/>
      <c r="G283" s="202"/>
      <c r="H283" s="202"/>
      <c r="I283" s="202"/>
      <c r="J283" s="203"/>
    </row>
    <row r="284" spans="1:10" ht="15.75" x14ac:dyDescent="0.25">
      <c r="A284" s="5" t="s">
        <v>6</v>
      </c>
      <c r="B284" s="197"/>
      <c r="C284" s="200"/>
      <c r="D284" s="204"/>
      <c r="E284" s="205"/>
      <c r="F284" s="205"/>
      <c r="G284" s="205"/>
      <c r="H284" s="205"/>
      <c r="I284" s="205"/>
      <c r="J284" s="206"/>
    </row>
    <row r="285" spans="1:10" ht="15.75" x14ac:dyDescent="0.25">
      <c r="A285" s="216" t="s">
        <v>7</v>
      </c>
      <c r="B285" s="217"/>
      <c r="C285" s="49" t="s">
        <v>7</v>
      </c>
      <c r="D285" s="20" t="s">
        <v>27</v>
      </c>
      <c r="E285" s="6" t="s">
        <v>59</v>
      </c>
      <c r="F285" s="6" t="s">
        <v>65</v>
      </c>
      <c r="G285" s="49"/>
      <c r="H285" s="49" t="s">
        <v>24</v>
      </c>
      <c r="I285" s="7" t="s">
        <v>26</v>
      </c>
      <c r="J285" s="8"/>
    </row>
    <row r="286" spans="1:10" ht="15.75" x14ac:dyDescent="0.25">
      <c r="A286" s="176"/>
      <c r="B286" s="177"/>
      <c r="C286" s="24"/>
      <c r="D286" s="23">
        <v>24</v>
      </c>
      <c r="E286" s="23">
        <v>4.2</v>
      </c>
      <c r="F286" s="11">
        <v>1</v>
      </c>
      <c r="G286" s="11"/>
      <c r="H286" s="11">
        <v>1</v>
      </c>
      <c r="I286" s="12">
        <f>ROUND(E286*H286*D286*F286,2)</f>
        <v>100.8</v>
      </c>
      <c r="J286" s="8"/>
    </row>
    <row r="287" spans="1:10" ht="15.75" x14ac:dyDescent="0.25">
      <c r="A287" s="193" t="s">
        <v>12</v>
      </c>
      <c r="B287" s="194"/>
      <c r="C287" s="194"/>
      <c r="D287" s="194"/>
      <c r="E287" s="194"/>
      <c r="F287" s="194"/>
      <c r="G287" s="194"/>
      <c r="H287" s="195"/>
      <c r="I287" s="13">
        <f>ROUND(SUM(I286:I286),2)</f>
        <v>100.8</v>
      </c>
      <c r="J287" s="14"/>
    </row>
    <row r="288" spans="1:10" ht="15.75" x14ac:dyDescent="0.25">
      <c r="A288" s="46"/>
      <c r="B288" s="47"/>
      <c r="C288" s="29"/>
      <c r="D288" s="29"/>
      <c r="E288" s="29"/>
      <c r="F288" s="29"/>
      <c r="G288" s="29"/>
      <c r="H288" s="29"/>
      <c r="I288" s="30"/>
      <c r="J288" s="31"/>
    </row>
    <row r="289" spans="1:10" ht="15.75" x14ac:dyDescent="0.25">
      <c r="A289" s="5" t="s">
        <v>4</v>
      </c>
      <c r="B289" s="196" t="s">
        <v>136</v>
      </c>
      <c r="C289" s="199"/>
      <c r="D289" s="201" t="s">
        <v>130</v>
      </c>
      <c r="E289" s="202"/>
      <c r="F289" s="202"/>
      <c r="G289" s="202"/>
      <c r="H289" s="202"/>
      <c r="I289" s="202"/>
      <c r="J289" s="203"/>
    </row>
    <row r="290" spans="1:10" ht="15.75" x14ac:dyDescent="0.25">
      <c r="A290" s="5" t="s">
        <v>6</v>
      </c>
      <c r="B290" s="197"/>
      <c r="C290" s="200"/>
      <c r="D290" s="204"/>
      <c r="E290" s="205"/>
      <c r="F290" s="205"/>
      <c r="G290" s="205"/>
      <c r="H290" s="205"/>
      <c r="I290" s="205"/>
      <c r="J290" s="206"/>
    </row>
    <row r="291" spans="1:10" ht="15.75" customHeight="1" x14ac:dyDescent="0.25">
      <c r="A291" s="216" t="s">
        <v>7</v>
      </c>
      <c r="B291" s="217"/>
      <c r="C291" s="49" t="s">
        <v>7</v>
      </c>
      <c r="D291" s="20" t="s">
        <v>38</v>
      </c>
      <c r="E291" s="6"/>
      <c r="F291" s="21"/>
      <c r="G291" s="49"/>
      <c r="H291" s="49" t="s">
        <v>24</v>
      </c>
      <c r="I291" s="7" t="s">
        <v>39</v>
      </c>
      <c r="J291" s="8"/>
    </row>
    <row r="292" spans="1:10" ht="15.75" x14ac:dyDescent="0.25">
      <c r="A292" s="240" t="s">
        <v>145</v>
      </c>
      <c r="B292" s="237"/>
      <c r="C292" s="36"/>
      <c r="D292" s="23">
        <f>'RESUMO DE AÇO '!G57</f>
        <v>155.22999999999999</v>
      </c>
      <c r="E292" s="23"/>
      <c r="F292" s="24"/>
      <c r="G292" s="11"/>
      <c r="H292" s="11">
        <v>1</v>
      </c>
      <c r="I292" s="25">
        <f>ROUND(SUM(H292*D292),2)</f>
        <v>155.22999999999999</v>
      </c>
      <c r="J292" s="8"/>
    </row>
    <row r="293" spans="1:10" ht="15.75" x14ac:dyDescent="0.25">
      <c r="A293" s="193" t="s">
        <v>12</v>
      </c>
      <c r="B293" s="194"/>
      <c r="C293" s="194"/>
      <c r="D293" s="194"/>
      <c r="E293" s="194"/>
      <c r="F293" s="194"/>
      <c r="G293" s="194"/>
      <c r="H293" s="195"/>
      <c r="I293" s="13">
        <f>ROUND(SUM(I292:I292),2)</f>
        <v>155.22999999999999</v>
      </c>
      <c r="J293" s="14"/>
    </row>
    <row r="294" spans="1:10" ht="15.75" x14ac:dyDescent="0.25">
      <c r="A294" s="46"/>
      <c r="B294" s="47"/>
      <c r="C294" s="29"/>
      <c r="D294" s="29"/>
      <c r="E294" s="29"/>
      <c r="F294" s="29"/>
      <c r="G294" s="29"/>
      <c r="H294" s="29"/>
      <c r="I294" s="30"/>
      <c r="J294" s="31"/>
    </row>
    <row r="295" spans="1:10" ht="15.75" x14ac:dyDescent="0.25">
      <c r="A295" s="5" t="s">
        <v>4</v>
      </c>
      <c r="B295" s="196" t="s">
        <v>137</v>
      </c>
      <c r="C295" s="199"/>
      <c r="D295" s="201" t="s">
        <v>95</v>
      </c>
      <c r="E295" s="202"/>
      <c r="F295" s="202"/>
      <c r="G295" s="202"/>
      <c r="H295" s="202"/>
      <c r="I295" s="202"/>
      <c r="J295" s="203"/>
    </row>
    <row r="296" spans="1:10" ht="15.75" x14ac:dyDescent="0.25">
      <c r="A296" s="5" t="s">
        <v>6</v>
      </c>
      <c r="B296" s="197"/>
      <c r="C296" s="200"/>
      <c r="D296" s="204"/>
      <c r="E296" s="205"/>
      <c r="F296" s="205"/>
      <c r="G296" s="205"/>
      <c r="H296" s="205"/>
      <c r="I296" s="205"/>
      <c r="J296" s="206"/>
    </row>
    <row r="297" spans="1:10" ht="15.75" x14ac:dyDescent="0.25">
      <c r="A297" s="216" t="s">
        <v>7</v>
      </c>
      <c r="B297" s="217"/>
      <c r="C297" s="49" t="s">
        <v>7</v>
      </c>
      <c r="D297" s="20" t="s">
        <v>38</v>
      </c>
      <c r="E297" s="6"/>
      <c r="F297" s="21"/>
      <c r="G297" s="49"/>
      <c r="H297" s="49" t="s">
        <v>24</v>
      </c>
      <c r="I297" s="7" t="s">
        <v>39</v>
      </c>
      <c r="J297" s="8"/>
    </row>
    <row r="298" spans="1:10" ht="15.75" x14ac:dyDescent="0.25">
      <c r="A298" s="190" t="s">
        <v>144</v>
      </c>
      <c r="B298" s="191"/>
      <c r="C298" s="36"/>
      <c r="D298" s="23">
        <f>'RESUMO DE AÇO '!G46</f>
        <v>361.5</v>
      </c>
      <c r="E298" s="23"/>
      <c r="F298" s="24"/>
      <c r="G298" s="11"/>
      <c r="H298" s="11">
        <v>1</v>
      </c>
      <c r="I298" s="25">
        <f>ROUND(SUM(H298*D298),2)</f>
        <v>361.5</v>
      </c>
      <c r="J298" s="8"/>
    </row>
    <row r="299" spans="1:10" ht="15.75" x14ac:dyDescent="0.25">
      <c r="A299" s="193" t="s">
        <v>12</v>
      </c>
      <c r="B299" s="194"/>
      <c r="C299" s="194"/>
      <c r="D299" s="194"/>
      <c r="E299" s="194"/>
      <c r="F299" s="194"/>
      <c r="G299" s="194"/>
      <c r="H299" s="195"/>
      <c r="I299" s="13">
        <f>ROUND(SUM(I298:I298),2)</f>
        <v>361.5</v>
      </c>
      <c r="J299" s="14"/>
    </row>
    <row r="300" spans="1:10" ht="15.75" x14ac:dyDescent="0.25">
      <c r="A300" s="46"/>
      <c r="B300" s="47"/>
      <c r="C300" s="29"/>
      <c r="D300" s="29"/>
      <c r="E300" s="29"/>
      <c r="F300" s="29"/>
      <c r="G300" s="29"/>
      <c r="H300" s="29"/>
      <c r="I300" s="30"/>
      <c r="J300" s="31"/>
    </row>
    <row r="301" spans="1:10" ht="15.75" x14ac:dyDescent="0.25">
      <c r="A301" s="5" t="s">
        <v>4</v>
      </c>
      <c r="B301" s="196" t="s">
        <v>138</v>
      </c>
      <c r="C301" s="199"/>
      <c r="D301" s="201" t="s">
        <v>96</v>
      </c>
      <c r="E301" s="202"/>
      <c r="F301" s="202"/>
      <c r="G301" s="202"/>
      <c r="H301" s="202"/>
      <c r="I301" s="202"/>
      <c r="J301" s="203"/>
    </row>
    <row r="302" spans="1:10" ht="15.75" x14ac:dyDescent="0.25">
      <c r="A302" s="5" t="s">
        <v>6</v>
      </c>
      <c r="B302" s="197"/>
      <c r="C302" s="200"/>
      <c r="D302" s="204"/>
      <c r="E302" s="205"/>
      <c r="F302" s="205"/>
      <c r="G302" s="205"/>
      <c r="H302" s="205"/>
      <c r="I302" s="205"/>
      <c r="J302" s="206"/>
    </row>
    <row r="303" spans="1:10" ht="15.75" x14ac:dyDescent="0.25">
      <c r="A303" s="216" t="s">
        <v>7</v>
      </c>
      <c r="B303" s="217"/>
      <c r="C303" s="49" t="s">
        <v>7</v>
      </c>
      <c r="D303" s="20" t="s">
        <v>38</v>
      </c>
      <c r="E303" s="6"/>
      <c r="F303" s="21"/>
      <c r="G303" s="49"/>
      <c r="H303" s="49" t="s">
        <v>24</v>
      </c>
      <c r="I303" s="7" t="s">
        <v>39</v>
      </c>
      <c r="J303" s="8"/>
    </row>
    <row r="304" spans="1:10" ht="15.75" x14ac:dyDescent="0.25">
      <c r="A304" s="226" t="str">
        <f>A298</f>
        <v>LAJE</v>
      </c>
      <c r="B304" s="184"/>
      <c r="C304" s="49"/>
      <c r="D304" s="23">
        <f>'RESUMO DE AÇO '!G47</f>
        <v>1672.11</v>
      </c>
      <c r="E304" s="6"/>
      <c r="F304" s="21"/>
      <c r="G304" s="49"/>
      <c r="H304" s="11">
        <v>1</v>
      </c>
      <c r="I304" s="25">
        <f>ROUND(SUM(H304*D304),2)</f>
        <v>1672.11</v>
      </c>
      <c r="J304" s="8"/>
    </row>
    <row r="305" spans="1:10" ht="15.75" x14ac:dyDescent="0.25">
      <c r="A305" s="226" t="s">
        <v>145</v>
      </c>
      <c r="B305" s="184"/>
      <c r="C305" s="36"/>
      <c r="D305" s="23">
        <f>'RESUMO DE AÇO '!G58</f>
        <v>477.8</v>
      </c>
      <c r="E305" s="23"/>
      <c r="F305" s="24"/>
      <c r="G305" s="11"/>
      <c r="H305" s="11">
        <v>1</v>
      </c>
      <c r="I305" s="25">
        <f>ROUND(SUM(H305*D305),2)</f>
        <v>477.8</v>
      </c>
      <c r="J305" s="8"/>
    </row>
    <row r="306" spans="1:10" ht="15.75" x14ac:dyDescent="0.25">
      <c r="A306" s="193" t="s">
        <v>12</v>
      </c>
      <c r="B306" s="194"/>
      <c r="C306" s="194"/>
      <c r="D306" s="194"/>
      <c r="E306" s="194"/>
      <c r="F306" s="194"/>
      <c r="G306" s="194"/>
      <c r="H306" s="195"/>
      <c r="I306" s="13">
        <f>ROUND(SUM(I304:I305),2)</f>
        <v>2149.91</v>
      </c>
      <c r="J306" s="14"/>
    </row>
    <row r="307" spans="1:10" ht="15.75" x14ac:dyDescent="0.25">
      <c r="A307" s="46"/>
      <c r="B307" s="47"/>
      <c r="C307" s="29"/>
      <c r="D307" s="29"/>
      <c r="E307" s="29"/>
      <c r="F307" s="29"/>
      <c r="G307" s="29"/>
      <c r="H307" s="29"/>
      <c r="I307" s="30"/>
      <c r="J307" s="31"/>
    </row>
    <row r="308" spans="1:10" ht="15.75" x14ac:dyDescent="0.25">
      <c r="A308" s="5" t="s">
        <v>4</v>
      </c>
      <c r="B308" s="196" t="s">
        <v>139</v>
      </c>
      <c r="C308" s="199"/>
      <c r="D308" s="201" t="s">
        <v>97</v>
      </c>
      <c r="E308" s="202"/>
      <c r="F308" s="202"/>
      <c r="G308" s="202"/>
      <c r="H308" s="202"/>
      <c r="I308" s="202"/>
      <c r="J308" s="203"/>
    </row>
    <row r="309" spans="1:10" ht="15.75" x14ac:dyDescent="0.25">
      <c r="A309" s="5" t="s">
        <v>6</v>
      </c>
      <c r="B309" s="197"/>
      <c r="C309" s="200"/>
      <c r="D309" s="204"/>
      <c r="E309" s="205"/>
      <c r="F309" s="205"/>
      <c r="G309" s="205"/>
      <c r="H309" s="205"/>
      <c r="I309" s="205"/>
      <c r="J309" s="206"/>
    </row>
    <row r="310" spans="1:10" ht="15.75" x14ac:dyDescent="0.25">
      <c r="A310" s="216" t="s">
        <v>7</v>
      </c>
      <c r="B310" s="217"/>
      <c r="C310" s="49" t="s">
        <v>7</v>
      </c>
      <c r="D310" s="20" t="s">
        <v>38</v>
      </c>
      <c r="E310" s="6"/>
      <c r="F310" s="21"/>
      <c r="G310" s="49"/>
      <c r="H310" s="49" t="s">
        <v>24</v>
      </c>
      <c r="I310" s="7" t="s">
        <v>39</v>
      </c>
      <c r="J310" s="8"/>
    </row>
    <row r="311" spans="1:10" ht="15.75" x14ac:dyDescent="0.25">
      <c r="A311" s="226" t="str">
        <f>A305</f>
        <v>GUARDA-RODAS</v>
      </c>
      <c r="B311" s="184"/>
      <c r="C311" s="49"/>
      <c r="D311" s="23">
        <f>'RESUMO DE AÇO '!G59</f>
        <v>677.95</v>
      </c>
      <c r="E311" s="6"/>
      <c r="F311" s="21"/>
      <c r="G311" s="49"/>
      <c r="H311" s="11">
        <v>1</v>
      </c>
      <c r="I311" s="25">
        <f>ROUND(SUM(H311*D311),2)</f>
        <v>677.95</v>
      </c>
      <c r="J311" s="8"/>
    </row>
    <row r="312" spans="1:10" ht="15.75" x14ac:dyDescent="0.25">
      <c r="A312" s="193" t="s">
        <v>12</v>
      </c>
      <c r="B312" s="194"/>
      <c r="C312" s="194"/>
      <c r="D312" s="194"/>
      <c r="E312" s="194"/>
      <c r="F312" s="194"/>
      <c r="G312" s="194"/>
      <c r="H312" s="195"/>
      <c r="I312" s="13">
        <f>ROUND(SUM(I311:I311),2)</f>
        <v>677.95</v>
      </c>
      <c r="J312" s="14"/>
    </row>
    <row r="313" spans="1:10" ht="15.75" x14ac:dyDescent="0.25">
      <c r="A313" s="46"/>
      <c r="B313" s="47"/>
      <c r="C313" s="29"/>
      <c r="D313" s="29"/>
      <c r="E313" s="29"/>
      <c r="F313" s="29"/>
      <c r="G313" s="29"/>
      <c r="H313" s="29"/>
      <c r="I313" s="30"/>
      <c r="J313" s="31"/>
    </row>
    <row r="314" spans="1:10" ht="15.75" x14ac:dyDescent="0.25">
      <c r="A314" s="5" t="s">
        <v>4</v>
      </c>
      <c r="B314" s="196" t="s">
        <v>140</v>
      </c>
      <c r="C314" s="199"/>
      <c r="D314" s="201" t="s">
        <v>169</v>
      </c>
      <c r="E314" s="202"/>
      <c r="F314" s="202"/>
      <c r="G314" s="202"/>
      <c r="H314" s="202"/>
      <c r="I314" s="202"/>
      <c r="J314" s="203"/>
    </row>
    <row r="315" spans="1:10" ht="15.75" x14ac:dyDescent="0.25">
      <c r="A315" s="5" t="s">
        <v>6</v>
      </c>
      <c r="B315" s="197"/>
      <c r="C315" s="200"/>
      <c r="D315" s="204"/>
      <c r="E315" s="205"/>
      <c r="F315" s="205"/>
      <c r="G315" s="205"/>
      <c r="H315" s="205"/>
      <c r="I315" s="205"/>
      <c r="J315" s="206"/>
    </row>
    <row r="316" spans="1:10" ht="15.75" x14ac:dyDescent="0.25">
      <c r="A316" s="216" t="s">
        <v>7</v>
      </c>
      <c r="B316" s="217"/>
      <c r="C316" s="49" t="s">
        <v>7</v>
      </c>
      <c r="D316" s="20" t="s">
        <v>27</v>
      </c>
      <c r="E316" s="6" t="s">
        <v>28</v>
      </c>
      <c r="F316" s="21" t="s">
        <v>23</v>
      </c>
      <c r="G316" s="57" t="s">
        <v>11</v>
      </c>
      <c r="H316" s="57" t="s">
        <v>24</v>
      </c>
      <c r="I316" s="7" t="s">
        <v>46</v>
      </c>
      <c r="J316" s="8" t="s">
        <v>78</v>
      </c>
    </row>
    <row r="317" spans="1:10" ht="15.75" x14ac:dyDescent="0.25">
      <c r="A317" s="190" t="str">
        <f>A304</f>
        <v>LAJE</v>
      </c>
      <c r="B317" s="191"/>
      <c r="C317" s="24"/>
      <c r="D317" s="23">
        <v>24</v>
      </c>
      <c r="E317" s="23">
        <v>4.2</v>
      </c>
      <c r="F317" s="11">
        <v>0.21</v>
      </c>
      <c r="G317" s="11"/>
      <c r="H317" s="11">
        <v>1</v>
      </c>
      <c r="I317" s="25">
        <f>ROUND(SUM(D317*E317*F317*H317),2)</f>
        <v>21.17</v>
      </c>
      <c r="J317" s="225"/>
    </row>
    <row r="318" spans="1:10" ht="15.75" x14ac:dyDescent="0.25">
      <c r="A318" s="190" t="str">
        <f>A305</f>
        <v>GUARDA-RODAS</v>
      </c>
      <c r="B318" s="191"/>
      <c r="C318" s="50"/>
      <c r="D318" s="32">
        <v>24</v>
      </c>
      <c r="E318" s="32"/>
      <c r="F318" s="11"/>
      <c r="G318" s="11">
        <f>G273</f>
        <v>0.17</v>
      </c>
      <c r="H318" s="11">
        <v>2</v>
      </c>
      <c r="I318" s="12">
        <f>ROUND(SUM(D318*H318*G318),2)</f>
        <v>8.16</v>
      </c>
      <c r="J318" s="218"/>
    </row>
    <row r="319" spans="1:10" ht="15.75" x14ac:dyDescent="0.25">
      <c r="A319" s="193" t="s">
        <v>194</v>
      </c>
      <c r="B319" s="194"/>
      <c r="C319" s="194"/>
      <c r="D319" s="194"/>
      <c r="E319" s="194"/>
      <c r="F319" s="194"/>
      <c r="G319" s="194"/>
      <c r="H319" s="195"/>
      <c r="I319" s="13">
        <f>ROUND(SUM(I317:I318),2)</f>
        <v>29.33</v>
      </c>
      <c r="J319" s="219"/>
    </row>
    <row r="320" spans="1:10" ht="15.75" x14ac:dyDescent="0.25">
      <c r="A320" s="46"/>
      <c r="B320" s="47"/>
      <c r="C320" s="29"/>
      <c r="D320" s="29"/>
      <c r="E320" s="29"/>
      <c r="F320" s="29"/>
      <c r="G320" s="29"/>
      <c r="H320" s="29"/>
      <c r="I320" s="30"/>
      <c r="J320" s="31"/>
    </row>
    <row r="321" spans="1:10" ht="15.75" x14ac:dyDescent="0.25">
      <c r="A321" s="1" t="s">
        <v>148</v>
      </c>
      <c r="B321" s="222" t="s">
        <v>66</v>
      </c>
      <c r="C321" s="223"/>
      <c r="D321" s="223"/>
      <c r="E321" s="223"/>
      <c r="F321" s="223"/>
      <c r="G321" s="223"/>
      <c r="H321" s="223"/>
      <c r="I321" s="223"/>
      <c r="J321" s="224"/>
    </row>
    <row r="322" spans="1:10" ht="15.75" x14ac:dyDescent="0.25">
      <c r="A322" s="5" t="s">
        <v>4</v>
      </c>
      <c r="B322" s="196" t="s">
        <v>149</v>
      </c>
      <c r="C322" s="199"/>
      <c r="D322" s="201" t="str">
        <f>'PLANILHA ORÇAMENTÁRIA '!C66</f>
        <v>PINTURA ACRÍLICA PARA PISO EM PASSEIO/SUPERFÍCIE CIMENTADA, DUAS (2) DEMÃOS, COM APLICAÇÃO MANUAL</v>
      </c>
      <c r="E322" s="202"/>
      <c r="F322" s="202"/>
      <c r="G322" s="202"/>
      <c r="H322" s="202"/>
      <c r="I322" s="202"/>
      <c r="J322" s="203"/>
    </row>
    <row r="323" spans="1:10" ht="15.75" x14ac:dyDescent="0.25">
      <c r="A323" s="5" t="s">
        <v>6</v>
      </c>
      <c r="B323" s="197"/>
      <c r="C323" s="200"/>
      <c r="D323" s="204"/>
      <c r="E323" s="205"/>
      <c r="F323" s="205"/>
      <c r="G323" s="205"/>
      <c r="H323" s="205"/>
      <c r="I323" s="205"/>
      <c r="J323" s="206"/>
    </row>
    <row r="324" spans="1:10" ht="15.75" x14ac:dyDescent="0.25">
      <c r="A324" s="239" t="s">
        <v>7</v>
      </c>
      <c r="B324" s="167"/>
      <c r="C324" s="49" t="s">
        <v>7</v>
      </c>
      <c r="D324" s="20" t="s">
        <v>27</v>
      </c>
      <c r="E324" s="20" t="s">
        <v>9</v>
      </c>
      <c r="F324" s="21"/>
      <c r="G324" s="49"/>
      <c r="H324" s="49" t="s">
        <v>24</v>
      </c>
      <c r="I324" s="21" t="s">
        <v>147</v>
      </c>
      <c r="J324" s="8"/>
    </row>
    <row r="325" spans="1:10" ht="15.75" customHeight="1" x14ac:dyDescent="0.25">
      <c r="A325" s="240" t="s">
        <v>146</v>
      </c>
      <c r="B325" s="237"/>
      <c r="C325" s="24"/>
      <c r="D325" s="23">
        <v>24</v>
      </c>
      <c r="E325" s="23">
        <v>0.9</v>
      </c>
      <c r="F325" s="11"/>
      <c r="G325" s="11"/>
      <c r="H325" s="11">
        <v>2</v>
      </c>
      <c r="I325" s="25">
        <f>ROUND(SUM(D325*E325*H325),2)</f>
        <v>43.2</v>
      </c>
      <c r="J325" s="8"/>
    </row>
    <row r="326" spans="1:10" ht="15.75" x14ac:dyDescent="0.25">
      <c r="A326" s="238" t="s">
        <v>12</v>
      </c>
      <c r="B326" s="236"/>
      <c r="C326" s="236"/>
      <c r="D326" s="236"/>
      <c r="E326" s="236"/>
      <c r="F326" s="236"/>
      <c r="G326" s="236"/>
      <c r="H326" s="236"/>
      <c r="I326" s="13">
        <f>ROUND(SUM(I325:I325),2)</f>
        <v>43.2</v>
      </c>
      <c r="J326" s="14"/>
    </row>
    <row r="327" spans="1:10" ht="15.75" x14ac:dyDescent="0.25">
      <c r="A327" s="37"/>
      <c r="B327" s="38"/>
      <c r="C327" s="38"/>
      <c r="D327" s="38"/>
      <c r="E327" s="38"/>
      <c r="F327" s="38"/>
      <c r="G327" s="38"/>
      <c r="H327" s="38"/>
      <c r="I327" s="38"/>
      <c r="J327" s="39"/>
    </row>
    <row r="328" spans="1:10" s="68" customFormat="1" ht="15.75" x14ac:dyDescent="0.25">
      <c r="A328" s="5" t="s">
        <v>4</v>
      </c>
      <c r="B328" s="196" t="s">
        <v>288</v>
      </c>
      <c r="C328" s="199"/>
      <c r="D328" s="201" t="str">
        <f>'PLANILHA ORÇAMENTÁRIA '!C67</f>
        <v>PLACA DE ALUMÍNIO FUNDIDO, DIMENSÃO (60X40)CM, PARA INAUGURAÇÃO, INCLUSIVE FIXAÇÃO</v>
      </c>
      <c r="E328" s="202"/>
      <c r="F328" s="202"/>
      <c r="G328" s="202"/>
      <c r="H328" s="202"/>
      <c r="I328" s="202"/>
      <c r="J328" s="203"/>
    </row>
    <row r="329" spans="1:10" s="68" customFormat="1" ht="15.75" x14ac:dyDescent="0.25">
      <c r="A329" s="5" t="s">
        <v>6</v>
      </c>
      <c r="B329" s="197"/>
      <c r="C329" s="200"/>
      <c r="D329" s="204"/>
      <c r="E329" s="205"/>
      <c r="F329" s="205"/>
      <c r="G329" s="205"/>
      <c r="H329" s="205"/>
      <c r="I329" s="205"/>
      <c r="J329" s="206"/>
    </row>
    <row r="330" spans="1:10" s="68" customFormat="1" ht="15.75" x14ac:dyDescent="0.25">
      <c r="A330" s="239" t="s">
        <v>7</v>
      </c>
      <c r="B330" s="167"/>
      <c r="C330" s="102" t="s">
        <v>7</v>
      </c>
      <c r="D330" s="20"/>
      <c r="E330" s="20"/>
      <c r="F330" s="21"/>
      <c r="G330" s="102"/>
      <c r="H330" s="102" t="s">
        <v>24</v>
      </c>
      <c r="I330" s="21" t="s">
        <v>347</v>
      </c>
      <c r="J330" s="8"/>
    </row>
    <row r="331" spans="1:10" s="68" customFormat="1" ht="15.75" customHeight="1" x14ac:dyDescent="0.25">
      <c r="A331" s="240" t="s">
        <v>146</v>
      </c>
      <c r="B331" s="237"/>
      <c r="C331" s="106"/>
      <c r="D331" s="23"/>
      <c r="E331" s="23"/>
      <c r="F331" s="11"/>
      <c r="G331" s="11"/>
      <c r="H331" s="11">
        <v>1</v>
      </c>
      <c r="I331" s="25">
        <f>H331</f>
        <v>1</v>
      </c>
      <c r="J331" s="8"/>
    </row>
    <row r="332" spans="1:10" s="68" customFormat="1" ht="15.75" x14ac:dyDescent="0.25">
      <c r="A332" s="238" t="s">
        <v>12</v>
      </c>
      <c r="B332" s="236"/>
      <c r="C332" s="236"/>
      <c r="D332" s="236"/>
      <c r="E332" s="236"/>
      <c r="F332" s="236"/>
      <c r="G332" s="236"/>
      <c r="H332" s="236"/>
      <c r="I332" s="13">
        <f>ROUND(SUM(I331:I331),2)</f>
        <v>1</v>
      </c>
      <c r="J332" s="14"/>
    </row>
    <row r="333" spans="1:10" s="68" customFormat="1" ht="15.75" x14ac:dyDescent="0.25">
      <c r="A333" s="37"/>
      <c r="B333" s="38"/>
      <c r="C333" s="38"/>
      <c r="D333" s="38"/>
      <c r="E333" s="38"/>
      <c r="F333" s="38"/>
      <c r="G333" s="38"/>
      <c r="H333" s="38"/>
      <c r="I333" s="38"/>
      <c r="J333" s="39"/>
    </row>
    <row r="334" spans="1:10" s="68" customFormat="1" ht="15.75" x14ac:dyDescent="0.25">
      <c r="A334" s="5" t="s">
        <v>4</v>
      </c>
      <c r="B334" s="196" t="s">
        <v>346</v>
      </c>
      <c r="C334" s="199"/>
      <c r="D334" s="201" t="s">
        <v>175</v>
      </c>
      <c r="E334" s="202"/>
      <c r="F334" s="202"/>
      <c r="G334" s="202"/>
      <c r="H334" s="202"/>
      <c r="I334" s="202"/>
      <c r="J334" s="203"/>
    </row>
    <row r="335" spans="1:10" s="68" customFormat="1" ht="15.75" x14ac:dyDescent="0.25">
      <c r="A335" s="5" t="s">
        <v>6</v>
      </c>
      <c r="B335" s="197"/>
      <c r="C335" s="200"/>
      <c r="D335" s="204"/>
      <c r="E335" s="205"/>
      <c r="F335" s="205"/>
      <c r="G335" s="205"/>
      <c r="H335" s="205"/>
      <c r="I335" s="205"/>
      <c r="J335" s="206"/>
    </row>
    <row r="336" spans="1:10" s="68" customFormat="1" ht="15.75" x14ac:dyDescent="0.25">
      <c r="A336" s="239" t="s">
        <v>7</v>
      </c>
      <c r="B336" s="167"/>
      <c r="C336" s="102" t="s">
        <v>7</v>
      </c>
      <c r="D336" s="20" t="s">
        <v>27</v>
      </c>
      <c r="E336" s="20" t="s">
        <v>9</v>
      </c>
      <c r="F336" s="21"/>
      <c r="G336" s="102"/>
      <c r="H336" s="102" t="s">
        <v>24</v>
      </c>
      <c r="I336" s="21" t="s">
        <v>147</v>
      </c>
      <c r="J336" s="8"/>
    </row>
    <row r="337" spans="1:10" s="68" customFormat="1" ht="15.75" customHeight="1" x14ac:dyDescent="0.25">
      <c r="A337" s="240" t="s">
        <v>146</v>
      </c>
      <c r="B337" s="237"/>
      <c r="C337" s="106"/>
      <c r="D337" s="23">
        <v>1.3</v>
      </c>
      <c r="E337" s="23">
        <v>0.65</v>
      </c>
      <c r="F337" s="11"/>
      <c r="G337" s="11"/>
      <c r="H337" s="11">
        <v>2</v>
      </c>
      <c r="I337" s="25">
        <f>ROUND(SUM(D337*E337*H337),2)</f>
        <v>1.69</v>
      </c>
      <c r="J337" s="8"/>
    </row>
    <row r="338" spans="1:10" s="68" customFormat="1" ht="15.75" x14ac:dyDescent="0.25">
      <c r="A338" s="238" t="s">
        <v>12</v>
      </c>
      <c r="B338" s="236"/>
      <c r="C338" s="236"/>
      <c r="D338" s="236"/>
      <c r="E338" s="236"/>
      <c r="F338" s="236"/>
      <c r="G338" s="236"/>
      <c r="H338" s="236"/>
      <c r="I338" s="13">
        <f>ROUND(SUM(I337:I337),2)</f>
        <v>1.69</v>
      </c>
      <c r="J338" s="14"/>
    </row>
    <row r="339" spans="1:10" s="68" customFormat="1" ht="15.75" x14ac:dyDescent="0.25">
      <c r="A339" s="37"/>
      <c r="B339" s="38"/>
      <c r="C339" s="38"/>
      <c r="D339" s="38"/>
      <c r="E339" s="38"/>
      <c r="F339" s="38"/>
      <c r="G339" s="38"/>
      <c r="H339" s="38"/>
      <c r="I339" s="38"/>
      <c r="J339" s="39"/>
    </row>
    <row r="340" spans="1:10" ht="15.75" x14ac:dyDescent="0.25">
      <c r="A340" s="37"/>
      <c r="B340" s="38"/>
      <c r="C340" s="52"/>
      <c r="D340" s="38"/>
      <c r="E340" s="38"/>
      <c r="F340" s="38"/>
      <c r="G340" s="38"/>
      <c r="H340" s="38"/>
      <c r="I340" s="38"/>
      <c r="J340" s="39"/>
    </row>
    <row r="341" spans="1:10" ht="15.75" x14ac:dyDescent="0.25">
      <c r="A341" s="37"/>
      <c r="B341" s="38"/>
      <c r="C341" s="38"/>
      <c r="D341" s="38"/>
      <c r="E341" s="38"/>
      <c r="F341" s="38"/>
      <c r="G341" s="38"/>
      <c r="H341" s="38"/>
      <c r="I341" s="38"/>
      <c r="J341" s="39"/>
    </row>
    <row r="342" spans="1:10" ht="15.75" x14ac:dyDescent="0.25">
      <c r="A342" s="37"/>
      <c r="B342" s="38"/>
      <c r="C342" s="38"/>
      <c r="D342" s="38"/>
      <c r="E342" s="38"/>
      <c r="F342" s="38"/>
      <c r="G342" s="38"/>
      <c r="H342" s="38"/>
      <c r="I342" s="38"/>
      <c r="J342" s="39"/>
    </row>
    <row r="343" spans="1:10" ht="15.75" x14ac:dyDescent="0.25">
      <c r="A343" s="40"/>
      <c r="B343" s="41"/>
      <c r="C343" s="41"/>
      <c r="D343" s="41"/>
      <c r="E343" s="41"/>
      <c r="F343" s="41"/>
      <c r="G343" s="41"/>
      <c r="H343" s="41"/>
      <c r="I343" s="41"/>
      <c r="J343" s="42"/>
    </row>
    <row r="344" spans="1:10" ht="15.75" x14ac:dyDescent="0.25">
      <c r="A344" s="40"/>
      <c r="B344" s="41"/>
      <c r="C344" s="41"/>
      <c r="D344" s="41"/>
      <c r="E344" s="41"/>
      <c r="F344" s="41"/>
      <c r="G344" s="41"/>
      <c r="H344" s="41"/>
      <c r="I344" s="41"/>
      <c r="J344" s="42"/>
    </row>
    <row r="345" spans="1:10" ht="15.75" x14ac:dyDescent="0.25">
      <c r="A345" s="40"/>
      <c r="B345" s="41"/>
      <c r="C345" s="41"/>
      <c r="D345" s="41"/>
      <c r="E345" s="41"/>
      <c r="F345" s="41"/>
      <c r="G345" s="41"/>
      <c r="H345" s="41"/>
      <c r="I345" s="41"/>
      <c r="J345" s="42"/>
    </row>
    <row r="346" spans="1:10" ht="15.75" x14ac:dyDescent="0.25">
      <c r="A346" s="40"/>
      <c r="B346" s="215" t="s">
        <v>176</v>
      </c>
      <c r="C346" s="215"/>
      <c r="D346" s="215"/>
      <c r="E346" s="41"/>
      <c r="F346" s="215" t="s">
        <v>361</v>
      </c>
      <c r="G346" s="215"/>
      <c r="H346" s="215"/>
      <c r="I346" s="215"/>
      <c r="J346" s="42"/>
    </row>
    <row r="347" spans="1:10" ht="15.75" x14ac:dyDescent="0.25">
      <c r="A347" s="40"/>
      <c r="B347" s="161" t="s">
        <v>177</v>
      </c>
      <c r="C347" s="161"/>
      <c r="D347" s="161"/>
      <c r="E347" s="41"/>
      <c r="F347" s="161" t="s">
        <v>327</v>
      </c>
      <c r="G347" s="161"/>
      <c r="H347" s="161"/>
      <c r="I347" s="161"/>
      <c r="J347" s="42"/>
    </row>
    <row r="348" spans="1:10" ht="15.75" x14ac:dyDescent="0.25">
      <c r="A348" s="40"/>
      <c r="B348" s="41"/>
      <c r="C348" s="41"/>
      <c r="D348" s="41"/>
      <c r="E348" s="41"/>
      <c r="F348" s="41"/>
      <c r="G348" s="41"/>
      <c r="H348" s="41"/>
      <c r="I348" s="41"/>
      <c r="J348" s="42"/>
    </row>
    <row r="349" spans="1:10" ht="15.75" x14ac:dyDescent="0.25">
      <c r="A349" s="40"/>
      <c r="B349" s="41"/>
      <c r="C349" s="41"/>
      <c r="D349" s="41"/>
      <c r="E349" s="41"/>
      <c r="F349" s="41"/>
      <c r="G349" s="41"/>
      <c r="H349" s="41"/>
      <c r="I349" s="41"/>
      <c r="J349" s="42"/>
    </row>
    <row r="350" spans="1:10" ht="15.75" x14ac:dyDescent="0.25">
      <c r="A350" s="40"/>
      <c r="B350" s="41"/>
      <c r="C350" s="41"/>
      <c r="D350" s="41"/>
      <c r="E350" s="41"/>
      <c r="F350" s="41"/>
      <c r="G350" s="41"/>
      <c r="H350" s="41"/>
      <c r="I350" s="41"/>
      <c r="J350" s="42"/>
    </row>
    <row r="351" spans="1:10" ht="16.5" thickBot="1" x14ac:dyDescent="0.3">
      <c r="A351" s="43"/>
      <c r="B351" s="44"/>
      <c r="C351" s="44"/>
      <c r="D351" s="44"/>
      <c r="E351" s="44"/>
      <c r="F351" s="44"/>
      <c r="G351" s="44"/>
      <c r="H351" s="44"/>
      <c r="I351" s="44"/>
      <c r="J351" s="45"/>
    </row>
  </sheetData>
  <mergeCells count="386">
    <mergeCell ref="B334:B335"/>
    <mergeCell ref="C334:C335"/>
    <mergeCell ref="D334:J335"/>
    <mergeCell ref="A336:B336"/>
    <mergeCell ref="A337:B337"/>
    <mergeCell ref="A338:H338"/>
    <mergeCell ref="A53:B53"/>
    <mergeCell ref="J53:J54"/>
    <mergeCell ref="A54:H54"/>
    <mergeCell ref="B328:B329"/>
    <mergeCell ref="C328:C329"/>
    <mergeCell ref="D328:J329"/>
    <mergeCell ref="A330:B330"/>
    <mergeCell ref="A331:B331"/>
    <mergeCell ref="A332:H332"/>
    <mergeCell ref="A59:B59"/>
    <mergeCell ref="A81:B81"/>
    <mergeCell ref="B71:B72"/>
    <mergeCell ref="C71:C72"/>
    <mergeCell ref="D71:J72"/>
    <mergeCell ref="A74:B74"/>
    <mergeCell ref="A76:H76"/>
    <mergeCell ref="J74:J76"/>
    <mergeCell ref="A60:B60"/>
    <mergeCell ref="A1:J2"/>
    <mergeCell ref="B3:J3"/>
    <mergeCell ref="B4:J4"/>
    <mergeCell ref="A5:J5"/>
    <mergeCell ref="A6:J6"/>
    <mergeCell ref="B7:J7"/>
    <mergeCell ref="A75:B75"/>
    <mergeCell ref="A17:B17"/>
    <mergeCell ref="A18:H18"/>
    <mergeCell ref="B20:B21"/>
    <mergeCell ref="C20:C21"/>
    <mergeCell ref="D20:J21"/>
    <mergeCell ref="A23:B23"/>
    <mergeCell ref="B8:B9"/>
    <mergeCell ref="C8:C9"/>
    <mergeCell ref="D8:J9"/>
    <mergeCell ref="A11:B11"/>
    <mergeCell ref="A12:H12"/>
    <mergeCell ref="B14:B15"/>
    <mergeCell ref="C14:C15"/>
    <mergeCell ref="D14:J15"/>
    <mergeCell ref="A10:B10"/>
    <mergeCell ref="A61:H61"/>
    <mergeCell ref="B63:J63"/>
    <mergeCell ref="A24:H24"/>
    <mergeCell ref="B32:B33"/>
    <mergeCell ref="C32:C33"/>
    <mergeCell ref="D32:J33"/>
    <mergeCell ref="A35:B35"/>
    <mergeCell ref="A36:H36"/>
    <mergeCell ref="A28:B28"/>
    <mergeCell ref="A34:B34"/>
    <mergeCell ref="A40:B40"/>
    <mergeCell ref="B26:B27"/>
    <mergeCell ref="C26:C27"/>
    <mergeCell ref="D26:J27"/>
    <mergeCell ref="A29:B29"/>
    <mergeCell ref="A30:H30"/>
    <mergeCell ref="A66:B66"/>
    <mergeCell ref="A73:B73"/>
    <mergeCell ref="B38:B39"/>
    <mergeCell ref="C38:C39"/>
    <mergeCell ref="D38:J39"/>
    <mergeCell ref="A41:B41"/>
    <mergeCell ref="A42:H42"/>
    <mergeCell ref="B56:J56"/>
    <mergeCell ref="B44:B45"/>
    <mergeCell ref="C44:C45"/>
    <mergeCell ref="D44:J45"/>
    <mergeCell ref="A46:B46"/>
    <mergeCell ref="A47:B47"/>
    <mergeCell ref="J47:J48"/>
    <mergeCell ref="A48:H48"/>
    <mergeCell ref="B50:B51"/>
    <mergeCell ref="C50:C51"/>
    <mergeCell ref="D50:J51"/>
    <mergeCell ref="A52:B52"/>
    <mergeCell ref="A187:H187"/>
    <mergeCell ref="A128:H128"/>
    <mergeCell ref="B101:B102"/>
    <mergeCell ref="C101:C102"/>
    <mergeCell ref="D101:J102"/>
    <mergeCell ref="A104:B104"/>
    <mergeCell ref="A105:H105"/>
    <mergeCell ref="B115:B116"/>
    <mergeCell ref="C115:C116"/>
    <mergeCell ref="D115:J116"/>
    <mergeCell ref="A110:B110"/>
    <mergeCell ref="A112:B112"/>
    <mergeCell ref="A113:H113"/>
    <mergeCell ref="C123:C124"/>
    <mergeCell ref="A118:B118"/>
    <mergeCell ref="A120:B120"/>
    <mergeCell ref="A121:H121"/>
    <mergeCell ref="D123:J124"/>
    <mergeCell ref="A119:B119"/>
    <mergeCell ref="A127:B127"/>
    <mergeCell ref="A129:J129"/>
    <mergeCell ref="A150:B150"/>
    <mergeCell ref="A153:B153"/>
    <mergeCell ref="A158:B158"/>
    <mergeCell ref="B183:B184"/>
    <mergeCell ref="C183:C184"/>
    <mergeCell ref="D183:J184"/>
    <mergeCell ref="J180:J181"/>
    <mergeCell ref="B177:B178"/>
    <mergeCell ref="C177:C178"/>
    <mergeCell ref="D177:J178"/>
    <mergeCell ref="A185:B185"/>
    <mergeCell ref="A186:B186"/>
    <mergeCell ref="A212:B212"/>
    <mergeCell ref="A221:B221"/>
    <mergeCell ref="A206:B206"/>
    <mergeCell ref="A207:B207"/>
    <mergeCell ref="A208:H208"/>
    <mergeCell ref="A213:B213"/>
    <mergeCell ref="A215:B215"/>
    <mergeCell ref="A216:H216"/>
    <mergeCell ref="B218:J218"/>
    <mergeCell ref="D210:J211"/>
    <mergeCell ref="C210:C211"/>
    <mergeCell ref="A199:B199"/>
    <mergeCell ref="A202:H202"/>
    <mergeCell ref="B189:B190"/>
    <mergeCell ref="C189:C190"/>
    <mergeCell ref="D189:J190"/>
    <mergeCell ref="B204:B205"/>
    <mergeCell ref="C204:C205"/>
    <mergeCell ref="D204:J205"/>
    <mergeCell ref="A191:B191"/>
    <mergeCell ref="B196:B197"/>
    <mergeCell ref="C196:C197"/>
    <mergeCell ref="D196:J197"/>
    <mergeCell ref="A240:B240"/>
    <mergeCell ref="B228:B229"/>
    <mergeCell ref="C228:C229"/>
    <mergeCell ref="D228:J229"/>
    <mergeCell ref="A222:B222"/>
    <mergeCell ref="A226:H226"/>
    <mergeCell ref="J222:J226"/>
    <mergeCell ref="A225:B225"/>
    <mergeCell ref="A325:B325"/>
    <mergeCell ref="A298:B298"/>
    <mergeCell ref="A299:H299"/>
    <mergeCell ref="A230:B230"/>
    <mergeCell ref="A236:B236"/>
    <mergeCell ref="A245:B245"/>
    <mergeCell ref="A251:B251"/>
    <mergeCell ref="A291:B291"/>
    <mergeCell ref="B262:B263"/>
    <mergeCell ref="A268:H268"/>
    <mergeCell ref="B270:B271"/>
    <mergeCell ref="C270:C271"/>
    <mergeCell ref="B249:B250"/>
    <mergeCell ref="C249:C250"/>
    <mergeCell ref="D249:J250"/>
    <mergeCell ref="A252:B252"/>
    <mergeCell ref="A326:H326"/>
    <mergeCell ref="B321:J321"/>
    <mergeCell ref="B322:B323"/>
    <mergeCell ref="C322:C323"/>
    <mergeCell ref="D322:J323"/>
    <mergeCell ref="B283:B284"/>
    <mergeCell ref="C283:C284"/>
    <mergeCell ref="D283:J284"/>
    <mergeCell ref="A286:B286"/>
    <mergeCell ref="A287:H287"/>
    <mergeCell ref="C295:C296"/>
    <mergeCell ref="D295:J296"/>
    <mergeCell ref="A293:H293"/>
    <mergeCell ref="B301:B302"/>
    <mergeCell ref="C301:C302"/>
    <mergeCell ref="D301:J302"/>
    <mergeCell ref="B289:B290"/>
    <mergeCell ref="C289:C290"/>
    <mergeCell ref="D289:J290"/>
    <mergeCell ref="A285:B285"/>
    <mergeCell ref="A324:B324"/>
    <mergeCell ref="B295:B296"/>
    <mergeCell ref="A297:B297"/>
    <mergeCell ref="A292:B292"/>
    <mergeCell ref="A80:B80"/>
    <mergeCell ref="A96:B96"/>
    <mergeCell ref="A99:H99"/>
    <mergeCell ref="B84:J84"/>
    <mergeCell ref="B85:B86"/>
    <mergeCell ref="C85:C86"/>
    <mergeCell ref="D85:J86"/>
    <mergeCell ref="A88:B88"/>
    <mergeCell ref="A91:H91"/>
    <mergeCell ref="J88:J91"/>
    <mergeCell ref="A89:B89"/>
    <mergeCell ref="A97:B97"/>
    <mergeCell ref="A87:B87"/>
    <mergeCell ref="A95:B95"/>
    <mergeCell ref="D93:J94"/>
    <mergeCell ref="A132:B132"/>
    <mergeCell ref="A133:B133"/>
    <mergeCell ref="A134:H134"/>
    <mergeCell ref="B136:B137"/>
    <mergeCell ref="A166:B166"/>
    <mergeCell ref="A198:B198"/>
    <mergeCell ref="A192:B192"/>
    <mergeCell ref="A193:B193"/>
    <mergeCell ref="A194:H194"/>
    <mergeCell ref="A159:B159"/>
    <mergeCell ref="A161:B161"/>
    <mergeCell ref="A162:H162"/>
    <mergeCell ref="B164:B165"/>
    <mergeCell ref="C164:C165"/>
    <mergeCell ref="D164:J165"/>
    <mergeCell ref="C136:C137"/>
    <mergeCell ref="D136:J137"/>
    <mergeCell ref="J133:J134"/>
    <mergeCell ref="A144:B144"/>
    <mergeCell ref="A146:H146"/>
    <mergeCell ref="B170:J170"/>
    <mergeCell ref="A179:B179"/>
    <mergeCell ref="A180:B180"/>
    <mergeCell ref="A181:H181"/>
    <mergeCell ref="A109:B109"/>
    <mergeCell ref="A90:B90"/>
    <mergeCell ref="A98:B98"/>
    <mergeCell ref="B130:B131"/>
    <mergeCell ref="C130:C131"/>
    <mergeCell ref="D130:J131"/>
    <mergeCell ref="A138:B138"/>
    <mergeCell ref="A139:B139"/>
    <mergeCell ref="A140:H140"/>
    <mergeCell ref="B123:B124"/>
    <mergeCell ref="A125:B125"/>
    <mergeCell ref="A126:B126"/>
    <mergeCell ref="B93:B94"/>
    <mergeCell ref="C93:C94"/>
    <mergeCell ref="A117:B117"/>
    <mergeCell ref="A111:B111"/>
    <mergeCell ref="A103:B103"/>
    <mergeCell ref="J118:J121"/>
    <mergeCell ref="J110:J113"/>
    <mergeCell ref="J104:J105"/>
    <mergeCell ref="J96:J99"/>
    <mergeCell ref="J126:J128"/>
    <mergeCell ref="B107:B108"/>
    <mergeCell ref="C107:C108"/>
    <mergeCell ref="J11:J12"/>
    <mergeCell ref="J17:J18"/>
    <mergeCell ref="J23:J24"/>
    <mergeCell ref="J29:J30"/>
    <mergeCell ref="J35:J36"/>
    <mergeCell ref="J41:J42"/>
    <mergeCell ref="J60:J61"/>
    <mergeCell ref="A82:H82"/>
    <mergeCell ref="B64:B65"/>
    <mergeCell ref="C64:C65"/>
    <mergeCell ref="D64:J65"/>
    <mergeCell ref="A67:B67"/>
    <mergeCell ref="A68:H68"/>
    <mergeCell ref="B70:J70"/>
    <mergeCell ref="J67:J68"/>
    <mergeCell ref="B57:B58"/>
    <mergeCell ref="C57:C58"/>
    <mergeCell ref="D57:J58"/>
    <mergeCell ref="A16:B16"/>
    <mergeCell ref="A22:B22"/>
    <mergeCell ref="J81:J82"/>
    <mergeCell ref="B78:B79"/>
    <mergeCell ref="C78:C79"/>
    <mergeCell ref="D78:J79"/>
    <mergeCell ref="J159:J162"/>
    <mergeCell ref="J151:J154"/>
    <mergeCell ref="J145:J146"/>
    <mergeCell ref="J139:J140"/>
    <mergeCell ref="A135:J135"/>
    <mergeCell ref="A141:J141"/>
    <mergeCell ref="A147:J147"/>
    <mergeCell ref="A160:B160"/>
    <mergeCell ref="C156:C157"/>
    <mergeCell ref="A154:H154"/>
    <mergeCell ref="B148:B149"/>
    <mergeCell ref="C148:C149"/>
    <mergeCell ref="D148:J149"/>
    <mergeCell ref="A152:B152"/>
    <mergeCell ref="B156:B157"/>
    <mergeCell ref="B142:B143"/>
    <mergeCell ref="C142:C143"/>
    <mergeCell ref="D142:J143"/>
    <mergeCell ref="D107:J108"/>
    <mergeCell ref="A304:B304"/>
    <mergeCell ref="D156:J157"/>
    <mergeCell ref="A151:B151"/>
    <mergeCell ref="A274:B274"/>
    <mergeCell ref="J207:J208"/>
    <mergeCell ref="J199:J202"/>
    <mergeCell ref="J192:J194"/>
    <mergeCell ref="J186:J187"/>
    <mergeCell ref="D255:J256"/>
    <mergeCell ref="A257:B257"/>
    <mergeCell ref="A258:B258"/>
    <mergeCell ref="A259:H259"/>
    <mergeCell ref="D270:J271"/>
    <mergeCell ref="J252:J253"/>
    <mergeCell ref="J246:J247"/>
    <mergeCell ref="J240:J241"/>
    <mergeCell ref="J231:J232"/>
    <mergeCell ref="D243:J244"/>
    <mergeCell ref="A246:B246"/>
    <mergeCell ref="A247:H247"/>
    <mergeCell ref="A231:B231"/>
    <mergeCell ref="A241:H241"/>
    <mergeCell ref="B243:B244"/>
    <mergeCell ref="C243:C244"/>
    <mergeCell ref="A267:B267"/>
    <mergeCell ref="A253:H253"/>
    <mergeCell ref="B261:J261"/>
    <mergeCell ref="A316:B316"/>
    <mergeCell ref="A317:B317"/>
    <mergeCell ref="J317:J319"/>
    <mergeCell ref="A318:B318"/>
    <mergeCell ref="A319:H319"/>
    <mergeCell ref="A303:B303"/>
    <mergeCell ref="A305:B305"/>
    <mergeCell ref="A306:H306"/>
    <mergeCell ref="B314:B315"/>
    <mergeCell ref="C314:C315"/>
    <mergeCell ref="D314:J315"/>
    <mergeCell ref="C308:C309"/>
    <mergeCell ref="D308:J309"/>
    <mergeCell ref="A310:B310"/>
    <mergeCell ref="A311:B311"/>
    <mergeCell ref="A279:B279"/>
    <mergeCell ref="A280:B280"/>
    <mergeCell ref="A281:H281"/>
    <mergeCell ref="B255:B256"/>
    <mergeCell ref="C255:C256"/>
    <mergeCell ref="B346:D346"/>
    <mergeCell ref="B347:D347"/>
    <mergeCell ref="F346:I346"/>
    <mergeCell ref="F347:I347"/>
    <mergeCell ref="A173:B173"/>
    <mergeCell ref="J174:J175"/>
    <mergeCell ref="A174:B174"/>
    <mergeCell ref="A175:H175"/>
    <mergeCell ref="A312:H312"/>
    <mergeCell ref="B308:B309"/>
    <mergeCell ref="A272:B272"/>
    <mergeCell ref="A273:B273"/>
    <mergeCell ref="A275:H275"/>
    <mergeCell ref="B277:B278"/>
    <mergeCell ref="C277:C278"/>
    <mergeCell ref="D277:J278"/>
    <mergeCell ref="C262:C263"/>
    <mergeCell ref="D262:J263"/>
    <mergeCell ref="A200:B200"/>
    <mergeCell ref="A201:B201"/>
    <mergeCell ref="A214:B214"/>
    <mergeCell ref="A264:B264"/>
    <mergeCell ref="A265:B265"/>
    <mergeCell ref="A266:B266"/>
    <mergeCell ref="A237:B237"/>
    <mergeCell ref="A238:B238"/>
    <mergeCell ref="A239:B239"/>
    <mergeCell ref="A145:B145"/>
    <mergeCell ref="A232:H232"/>
    <mergeCell ref="B234:B235"/>
    <mergeCell ref="A223:B223"/>
    <mergeCell ref="A224:B224"/>
    <mergeCell ref="B219:B220"/>
    <mergeCell ref="C219:C220"/>
    <mergeCell ref="D219:J220"/>
    <mergeCell ref="B171:B172"/>
    <mergeCell ref="C171:C172"/>
    <mergeCell ref="D171:J172"/>
    <mergeCell ref="A167:B167"/>
    <mergeCell ref="A168:H168"/>
    <mergeCell ref="C234:C235"/>
    <mergeCell ref="D234:J235"/>
    <mergeCell ref="A182:J182"/>
    <mergeCell ref="A188:J188"/>
    <mergeCell ref="A195:J195"/>
    <mergeCell ref="J213:J216"/>
    <mergeCell ref="B210:B211"/>
    <mergeCell ref="J167:J168"/>
  </mergeCells>
  <phoneticPr fontId="5" type="noConversion"/>
  <pageMargins left="0.25" right="0.25" top="0.75" bottom="0.75" header="0.3" footer="0.3"/>
  <pageSetup paperSize="9" scale="46" fitToHeight="0" orientation="landscape" r:id="rId1"/>
  <rowBreaks count="5" manualBreakCount="5">
    <brk id="68" max="9" man="1"/>
    <brk id="134" max="9" man="1"/>
    <brk id="203" max="9" man="1"/>
    <brk id="269" max="9" man="1"/>
    <brk id="33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FB549-558F-4227-949F-76311E2C3117}">
  <sheetPr>
    <pageSetUpPr fitToPage="1"/>
  </sheetPr>
  <dimension ref="A1:L43"/>
  <sheetViews>
    <sheetView view="pageBreakPreview" topLeftCell="A16" zoomScaleNormal="100" zoomScaleSheetLayoutView="100" workbookViewId="0">
      <selection activeCell="K1" sqref="A1:XFD8"/>
    </sheetView>
  </sheetViews>
  <sheetFormatPr defaultRowHeight="15" x14ac:dyDescent="0.25"/>
  <cols>
    <col min="2" max="2" width="51.28515625" customWidth="1"/>
    <col min="3" max="10" width="23" customWidth="1"/>
    <col min="12" max="12" width="12.7109375" bestFit="1" customWidth="1"/>
  </cols>
  <sheetData>
    <row r="1" spans="1:10" ht="24.75" customHeight="1" x14ac:dyDescent="0.25">
      <c r="A1" s="261" t="s">
        <v>349</v>
      </c>
      <c r="B1" s="262"/>
      <c r="C1" s="262"/>
      <c r="D1" s="262"/>
      <c r="E1" s="262"/>
      <c r="F1" s="262"/>
      <c r="G1" s="262"/>
      <c r="H1" s="262"/>
      <c r="I1" s="262"/>
      <c r="J1" s="263"/>
    </row>
    <row r="2" spans="1:10" ht="24.75" customHeight="1" x14ac:dyDescent="0.25">
      <c r="A2" s="264"/>
      <c r="B2" s="265"/>
      <c r="C2" s="265"/>
      <c r="D2" s="265"/>
      <c r="E2" s="265"/>
      <c r="F2" s="265"/>
      <c r="G2" s="265"/>
      <c r="H2" s="265"/>
      <c r="I2" s="265"/>
      <c r="J2" s="266"/>
    </row>
    <row r="3" spans="1:10" ht="31.5" customHeight="1" x14ac:dyDescent="0.25">
      <c r="A3" s="267" t="s">
        <v>365</v>
      </c>
      <c r="B3" s="268"/>
      <c r="C3" s="268"/>
      <c r="D3" s="268"/>
      <c r="E3" s="268"/>
      <c r="F3" s="269"/>
      <c r="G3" s="217" t="s">
        <v>170</v>
      </c>
      <c r="H3" s="167"/>
      <c r="I3" s="168">
        <f ca="1">TODAY()</f>
        <v>46204</v>
      </c>
      <c r="J3" s="169"/>
    </row>
    <row r="4" spans="1:10" ht="15.75" x14ac:dyDescent="0.25">
      <c r="A4" s="270" t="s">
        <v>366</v>
      </c>
      <c r="B4" s="271"/>
      <c r="C4" s="271"/>
      <c r="D4" s="271"/>
      <c r="E4" s="271"/>
      <c r="F4" s="272"/>
      <c r="G4" s="173" t="s">
        <v>295</v>
      </c>
      <c r="H4" s="273"/>
      <c r="I4" s="273"/>
      <c r="J4" s="274"/>
    </row>
    <row r="5" spans="1:10" ht="15.75" x14ac:dyDescent="0.25">
      <c r="A5" s="267" t="s">
        <v>350</v>
      </c>
      <c r="B5" s="268"/>
      <c r="C5" s="268"/>
      <c r="D5" s="268"/>
      <c r="E5" s="268"/>
      <c r="F5" s="269"/>
      <c r="G5" s="175" t="s">
        <v>171</v>
      </c>
      <c r="H5" s="175"/>
      <c r="I5" s="175"/>
      <c r="J5" s="174"/>
    </row>
    <row r="6" spans="1:10" ht="15.75" x14ac:dyDescent="0.25">
      <c r="A6" s="275" t="s">
        <v>367</v>
      </c>
      <c r="B6" s="276"/>
      <c r="C6" s="276"/>
      <c r="D6" s="276"/>
      <c r="E6" s="276"/>
      <c r="F6" s="277"/>
      <c r="G6" s="104" t="s">
        <v>297</v>
      </c>
      <c r="H6" s="75" t="s">
        <v>298</v>
      </c>
      <c r="I6" s="102" t="s">
        <v>299</v>
      </c>
      <c r="J6" s="8" t="s">
        <v>300</v>
      </c>
    </row>
    <row r="7" spans="1:10" ht="15.75" x14ac:dyDescent="0.25">
      <c r="A7" s="278" t="s">
        <v>301</v>
      </c>
      <c r="B7" s="279"/>
      <c r="C7" s="279"/>
      <c r="D7" s="279"/>
      <c r="E7" s="279"/>
      <c r="F7" s="280"/>
      <c r="G7" s="103" t="s">
        <v>302</v>
      </c>
      <c r="H7" s="77">
        <v>0.03</v>
      </c>
      <c r="I7" s="102" t="s">
        <v>303</v>
      </c>
      <c r="J7" s="77">
        <v>0.29349999999999998</v>
      </c>
    </row>
    <row r="8" spans="1:10" ht="15.75" x14ac:dyDescent="0.25">
      <c r="A8" s="281"/>
      <c r="B8" s="273"/>
      <c r="C8" s="273"/>
      <c r="D8" s="273"/>
      <c r="E8" s="273"/>
      <c r="F8" s="273"/>
      <c r="G8" s="273"/>
      <c r="H8" s="273"/>
      <c r="I8" s="273"/>
      <c r="J8" s="274"/>
    </row>
    <row r="9" spans="1:10" x14ac:dyDescent="0.25">
      <c r="A9" s="282">
        <v>1</v>
      </c>
      <c r="B9" s="283" t="s">
        <v>351</v>
      </c>
      <c r="C9" s="284" t="s">
        <v>352</v>
      </c>
      <c r="D9" s="284" t="s">
        <v>353</v>
      </c>
      <c r="E9" s="284" t="s">
        <v>354</v>
      </c>
      <c r="F9" s="284"/>
      <c r="G9" s="284" t="s">
        <v>355</v>
      </c>
      <c r="H9" s="284"/>
      <c r="I9" s="284" t="s">
        <v>355</v>
      </c>
      <c r="J9" s="285"/>
    </row>
    <row r="10" spans="1:10" x14ac:dyDescent="0.25">
      <c r="A10" s="282"/>
      <c r="B10" s="283"/>
      <c r="C10" s="284"/>
      <c r="D10" s="284"/>
      <c r="E10" s="284"/>
      <c r="F10" s="284"/>
      <c r="G10" s="284"/>
      <c r="H10" s="284"/>
      <c r="I10" s="284"/>
      <c r="J10" s="285"/>
    </row>
    <row r="11" spans="1:10" ht="15.75" x14ac:dyDescent="0.25">
      <c r="A11" s="282"/>
      <c r="B11" s="283"/>
      <c r="C11" s="284"/>
      <c r="D11" s="284"/>
      <c r="E11" s="283" t="s">
        <v>356</v>
      </c>
      <c r="F11" s="283"/>
      <c r="G11" s="283" t="s">
        <v>357</v>
      </c>
      <c r="H11" s="283"/>
      <c r="I11" s="283" t="s">
        <v>358</v>
      </c>
      <c r="J11" s="286"/>
    </row>
    <row r="12" spans="1:10" ht="15.75" x14ac:dyDescent="0.25">
      <c r="A12" s="287" t="s">
        <v>5</v>
      </c>
      <c r="B12" s="288" t="str">
        <f>'[2]PLANILHA ORÇAMENTÁRIA '!B12:H12</f>
        <v>SERVIÇOS PRELIMINARES</v>
      </c>
      <c r="C12" s="118" t="s">
        <v>359</v>
      </c>
      <c r="D12" s="119">
        <f>(D13/$D$31)</f>
        <v>6.4358217250715041E-2</v>
      </c>
      <c r="E12" s="289">
        <v>0.35</v>
      </c>
      <c r="F12" s="289"/>
      <c r="G12" s="289">
        <v>0.35</v>
      </c>
      <c r="H12" s="289"/>
      <c r="I12" s="289">
        <v>0.3</v>
      </c>
      <c r="J12" s="290"/>
    </row>
    <row r="13" spans="1:10" ht="15.75" x14ac:dyDescent="0.25">
      <c r="A13" s="287"/>
      <c r="B13" s="288"/>
      <c r="C13" s="120" t="s">
        <v>360</v>
      </c>
      <c r="D13" s="121">
        <f>'PLANILHA ORÇAMENTÁRIA '!J11</f>
        <v>28087.06</v>
      </c>
      <c r="E13" s="291">
        <f>ROUND(SUM(E12*$D$13),2)</f>
        <v>9830.4699999999993</v>
      </c>
      <c r="F13" s="291"/>
      <c r="G13" s="291">
        <f>ROUND(SUM(G12*$D$13),2)</f>
        <v>9830.4699999999993</v>
      </c>
      <c r="H13" s="291"/>
      <c r="I13" s="291">
        <f>ROUND(SUM(I12*$D$13),2)</f>
        <v>8426.1200000000008</v>
      </c>
      <c r="J13" s="292"/>
    </row>
    <row r="14" spans="1:10" ht="15.75" x14ac:dyDescent="0.25">
      <c r="A14" s="287" t="s">
        <v>13</v>
      </c>
      <c r="B14" s="288" t="s">
        <v>243</v>
      </c>
      <c r="C14" s="118" t="s">
        <v>359</v>
      </c>
      <c r="D14" s="119">
        <f>(D15/$D$31)</f>
        <v>9.9003564521524118E-3</v>
      </c>
      <c r="E14" s="289">
        <v>0.3</v>
      </c>
      <c r="F14" s="289"/>
      <c r="G14" s="289">
        <v>0.4</v>
      </c>
      <c r="H14" s="289"/>
      <c r="I14" s="289">
        <v>0.3</v>
      </c>
      <c r="J14" s="290"/>
    </row>
    <row r="15" spans="1:10" ht="15.75" x14ac:dyDescent="0.25">
      <c r="A15" s="287"/>
      <c r="B15" s="288"/>
      <c r="C15" s="120" t="s">
        <v>360</v>
      </c>
      <c r="D15" s="121">
        <f>'PLANILHA ORÇAMENTÁRIA '!J20</f>
        <v>4320.6899999999996</v>
      </c>
      <c r="E15" s="291">
        <f>ROUND(SUM(E14*D15),2)</f>
        <v>1296.21</v>
      </c>
      <c r="F15" s="291"/>
      <c r="G15" s="291">
        <f>ROUND(SUM(G14*$D$15),2)</f>
        <v>1728.28</v>
      </c>
      <c r="H15" s="291"/>
      <c r="I15" s="291">
        <f>ROUND(SUM(I14*$D$15),2)</f>
        <v>1296.21</v>
      </c>
      <c r="J15" s="292"/>
    </row>
    <row r="16" spans="1:10" ht="15.75" x14ac:dyDescent="0.25">
      <c r="A16" s="287" t="s">
        <v>14</v>
      </c>
      <c r="B16" s="288" t="s">
        <v>362</v>
      </c>
      <c r="C16" s="118" t="s">
        <v>359</v>
      </c>
      <c r="D16" s="119">
        <f>(D17/$D$31)</f>
        <v>3.5871099796566421E-2</v>
      </c>
      <c r="E16" s="289">
        <v>0.3</v>
      </c>
      <c r="F16" s="289"/>
      <c r="G16" s="289">
        <v>0.4</v>
      </c>
      <c r="H16" s="289"/>
      <c r="I16" s="289">
        <v>0.3</v>
      </c>
      <c r="J16" s="290"/>
    </row>
    <row r="17" spans="1:12" ht="15.75" x14ac:dyDescent="0.25">
      <c r="A17" s="287"/>
      <c r="B17" s="288"/>
      <c r="C17" s="120" t="s">
        <v>360</v>
      </c>
      <c r="D17" s="121">
        <f>'PLANILHA ORÇAMENTÁRIA '!J22</f>
        <v>15654.78</v>
      </c>
      <c r="E17" s="291">
        <f>ROUND(SUM(E16*$D$17),2)</f>
        <v>4696.43</v>
      </c>
      <c r="F17" s="291"/>
      <c r="G17" s="291">
        <f>ROUND(SUM(G16*$D$17),2)</f>
        <v>6261.91</v>
      </c>
      <c r="H17" s="291"/>
      <c r="I17" s="291">
        <f>ROUND(SUM(I16*$D$17),2)</f>
        <v>4696.43</v>
      </c>
      <c r="J17" s="292"/>
    </row>
    <row r="18" spans="1:12" ht="15.75" x14ac:dyDescent="0.25">
      <c r="A18" s="287" t="s">
        <v>15</v>
      </c>
      <c r="B18" s="288" t="s">
        <v>363</v>
      </c>
      <c r="C18" s="118" t="s">
        <v>359</v>
      </c>
      <c r="D18" s="119">
        <f>(D19/$D$31)</f>
        <v>3.632520611793813E-2</v>
      </c>
      <c r="E18" s="289">
        <v>0.5</v>
      </c>
      <c r="F18" s="289"/>
      <c r="G18" s="289"/>
      <c r="H18" s="289"/>
      <c r="I18" s="289">
        <v>0.5</v>
      </c>
      <c r="J18" s="290"/>
    </row>
    <row r="19" spans="1:12" ht="15.75" x14ac:dyDescent="0.25">
      <c r="A19" s="287"/>
      <c r="B19" s="288"/>
      <c r="C19" s="120" t="s">
        <v>360</v>
      </c>
      <c r="D19" s="121">
        <f>'PLANILHA ORÇAMENTÁRIA '!J24</f>
        <v>15852.96</v>
      </c>
      <c r="E19" s="291">
        <f>ROUND(SUM(E18*$D$19),2)</f>
        <v>7926.48</v>
      </c>
      <c r="F19" s="291"/>
      <c r="G19" s="291"/>
      <c r="H19" s="291"/>
      <c r="I19" s="291">
        <f>ROUND(SUM(I18*$D$19),2)</f>
        <v>7926.48</v>
      </c>
      <c r="J19" s="292"/>
    </row>
    <row r="20" spans="1:12" ht="15.75" x14ac:dyDescent="0.25">
      <c r="A20" s="287" t="s">
        <v>31</v>
      </c>
      <c r="B20" s="288" t="s">
        <v>364</v>
      </c>
      <c r="C20" s="118" t="s">
        <v>359</v>
      </c>
      <c r="D20" s="119">
        <f>(D21/$D$31)</f>
        <v>0.29474586750186665</v>
      </c>
      <c r="E20" s="289">
        <v>0.75</v>
      </c>
      <c r="F20" s="289"/>
      <c r="G20" s="289">
        <v>0.25</v>
      </c>
      <c r="H20" s="289"/>
      <c r="I20" s="289"/>
      <c r="J20" s="290"/>
    </row>
    <row r="21" spans="1:12" ht="15.75" x14ac:dyDescent="0.25">
      <c r="A21" s="287"/>
      <c r="B21" s="288"/>
      <c r="C21" s="120" t="s">
        <v>360</v>
      </c>
      <c r="D21" s="121">
        <f>'PLANILHA ORÇAMENTÁRIA '!J27</f>
        <v>128632.29</v>
      </c>
      <c r="E21" s="291">
        <f>ROUND(SUM(E20*$D$21),2)</f>
        <v>96474.22</v>
      </c>
      <c r="F21" s="291"/>
      <c r="G21" s="291">
        <f>ROUND(SUM(G20*$D$21),2)</f>
        <v>32158.07</v>
      </c>
      <c r="H21" s="291"/>
      <c r="I21" s="291"/>
      <c r="J21" s="292"/>
    </row>
    <row r="22" spans="1:12" ht="15.75" x14ac:dyDescent="0.25">
      <c r="A22" s="287" t="s">
        <v>72</v>
      </c>
      <c r="B22" s="288" t="s">
        <v>264</v>
      </c>
      <c r="C22" s="118" t="s">
        <v>359</v>
      </c>
      <c r="D22" s="119">
        <f>(D23/$D$31)</f>
        <v>0.31889312810055648</v>
      </c>
      <c r="E22" s="289"/>
      <c r="F22" s="289"/>
      <c r="G22" s="289">
        <v>0.75</v>
      </c>
      <c r="H22" s="289"/>
      <c r="I22" s="289">
        <v>0.25</v>
      </c>
      <c r="J22" s="290"/>
    </row>
    <row r="23" spans="1:12" ht="15.75" x14ac:dyDescent="0.25">
      <c r="A23" s="287"/>
      <c r="B23" s="288"/>
      <c r="C23" s="120" t="s">
        <v>360</v>
      </c>
      <c r="D23" s="121">
        <f>'PLANILHA ORÇAMENTÁRIA '!J40</f>
        <v>139170.57999999999</v>
      </c>
      <c r="E23" s="291"/>
      <c r="F23" s="291"/>
      <c r="G23" s="291">
        <f>ROUND(SUM(G22*$D$23),2)</f>
        <v>104377.94</v>
      </c>
      <c r="H23" s="291"/>
      <c r="I23" s="291">
        <f>ROUND(SUM(I22*$D$23),2)</f>
        <v>34792.65</v>
      </c>
      <c r="J23" s="292"/>
    </row>
    <row r="24" spans="1:12" ht="15.75" x14ac:dyDescent="0.25">
      <c r="A24" s="287" t="s">
        <v>119</v>
      </c>
      <c r="B24" s="288" t="s">
        <v>47</v>
      </c>
      <c r="C24" s="118" t="s">
        <v>359</v>
      </c>
      <c r="D24" s="119">
        <f>(D25/$D$31)</f>
        <v>4.8939453911141351E-2</v>
      </c>
      <c r="E24" s="289"/>
      <c r="F24" s="289"/>
      <c r="G24" s="289"/>
      <c r="H24" s="289"/>
      <c r="I24" s="289">
        <v>1</v>
      </c>
      <c r="J24" s="290"/>
    </row>
    <row r="25" spans="1:12" ht="15.75" x14ac:dyDescent="0.25">
      <c r="A25" s="287"/>
      <c r="B25" s="288"/>
      <c r="C25" s="120" t="s">
        <v>360</v>
      </c>
      <c r="D25" s="121">
        <f>'PLANILHA ORÇAMENTÁRIA '!J48</f>
        <v>21358.04</v>
      </c>
      <c r="E25" s="291"/>
      <c r="F25" s="291"/>
      <c r="G25" s="291"/>
      <c r="H25" s="291"/>
      <c r="I25" s="291">
        <f>ROUND(SUM(I24*D25),2)</f>
        <v>21358.04</v>
      </c>
      <c r="J25" s="292"/>
    </row>
    <row r="26" spans="1:12" ht="15.75" x14ac:dyDescent="0.25">
      <c r="A26" s="287" t="s">
        <v>131</v>
      </c>
      <c r="B26" s="288" t="s">
        <v>58</v>
      </c>
      <c r="C26" s="118" t="s">
        <v>359</v>
      </c>
      <c r="D26" s="119">
        <f>(D27/$D$31)</f>
        <v>0.18183372156238789</v>
      </c>
      <c r="E26" s="289"/>
      <c r="F26" s="289"/>
      <c r="G26" s="289"/>
      <c r="H26" s="289"/>
      <c r="I26" s="289">
        <v>1</v>
      </c>
      <c r="J26" s="290"/>
    </row>
    <row r="27" spans="1:12" ht="15.75" x14ac:dyDescent="0.25">
      <c r="A27" s="287"/>
      <c r="B27" s="288"/>
      <c r="C27" s="120" t="s">
        <v>360</v>
      </c>
      <c r="D27" s="121">
        <f>'PLANILHA ORÇAMENTÁRIA '!J55</f>
        <v>79355.44</v>
      </c>
      <c r="E27" s="291"/>
      <c r="F27" s="291"/>
      <c r="G27" s="291"/>
      <c r="H27" s="291"/>
      <c r="I27" s="291">
        <f>ROUND(SUM(I26*D27),2)</f>
        <v>79355.44</v>
      </c>
      <c r="J27" s="292"/>
    </row>
    <row r="28" spans="1:12" ht="15.75" x14ac:dyDescent="0.25">
      <c r="A28" s="287" t="s">
        <v>148</v>
      </c>
      <c r="B28" s="288" t="s">
        <v>285</v>
      </c>
      <c r="C28" s="118" t="s">
        <v>359</v>
      </c>
      <c r="D28" s="119">
        <f>(D29/$D$31)</f>
        <v>9.1329493066755647E-3</v>
      </c>
      <c r="E28" s="289"/>
      <c r="F28" s="289"/>
      <c r="G28" s="289"/>
      <c r="H28" s="289"/>
      <c r="I28" s="289">
        <v>1</v>
      </c>
      <c r="J28" s="290"/>
    </row>
    <row r="29" spans="1:12" ht="15.75" x14ac:dyDescent="0.25">
      <c r="A29" s="287"/>
      <c r="B29" s="288"/>
      <c r="C29" s="120" t="s">
        <v>360</v>
      </c>
      <c r="D29" s="121">
        <f>'PLANILHA ORÇAMENTÁRIA '!J65</f>
        <v>3985.78</v>
      </c>
      <c r="E29" s="291"/>
      <c r="F29" s="291"/>
      <c r="G29" s="291"/>
      <c r="H29" s="291"/>
      <c r="I29" s="291">
        <f>ROUND(SUM(I28*$D$29),2)</f>
        <v>3985.78</v>
      </c>
      <c r="J29" s="292"/>
    </row>
    <row r="30" spans="1:12" ht="15.75" x14ac:dyDescent="0.25">
      <c r="A30" s="287" t="s">
        <v>12</v>
      </c>
      <c r="B30" s="295"/>
      <c r="C30" s="118" t="s">
        <v>359</v>
      </c>
      <c r="D30" s="119">
        <f>ROUND(SUM(D12+D14+D16+D18+D20+D22+D24+D26+D28),2)</f>
        <v>1</v>
      </c>
      <c r="E30" s="296">
        <f>SUM(E31/$D$31)</f>
        <v>0.27547881774342659</v>
      </c>
      <c r="F30" s="296"/>
      <c r="G30" s="296">
        <f>SUM(G31/$D$31)</f>
        <v>0.35369027950796306</v>
      </c>
      <c r="H30" s="296"/>
      <c r="I30" s="296">
        <f>SUM(I31/$D$31)</f>
        <v>0.3708309256624423</v>
      </c>
      <c r="J30" s="297"/>
    </row>
    <row r="31" spans="1:12" ht="15.75" x14ac:dyDescent="0.25">
      <c r="A31" s="287"/>
      <c r="B31" s="295"/>
      <c r="C31" s="122" t="s">
        <v>360</v>
      </c>
      <c r="D31" s="123">
        <f>ROUND(D13+D15+D17+D19+D21+D23+D25+D27+D29,2)</f>
        <v>436417.62</v>
      </c>
      <c r="E31" s="298">
        <f>ROUND(SUM(E13+E15+E17+E19+E21+E23+E25+E27+E29),2)</f>
        <v>120223.81</v>
      </c>
      <c r="F31" s="298"/>
      <c r="G31" s="298">
        <f>ROUND(SUM(G13+G15+G17+G19+G21+G23+G25+G27+G29),2)</f>
        <v>154356.67000000001</v>
      </c>
      <c r="H31" s="298"/>
      <c r="I31" s="298">
        <f>ROUND(SUM(I13+I15+I17+I19+I21+I23+I25+I27+I29),2)</f>
        <v>161837.15</v>
      </c>
      <c r="J31" s="299"/>
      <c r="L31" s="130"/>
    </row>
    <row r="32" spans="1:12" ht="15.75" x14ac:dyDescent="0.25">
      <c r="A32" s="124"/>
      <c r="B32" s="131"/>
      <c r="C32" s="131"/>
      <c r="D32" s="131"/>
      <c r="E32" s="131"/>
      <c r="F32" s="131"/>
      <c r="G32" s="131"/>
      <c r="H32" s="131"/>
      <c r="I32" s="131"/>
      <c r="J32" s="125"/>
    </row>
    <row r="33" spans="1:10" ht="15.75" x14ac:dyDescent="0.25">
      <c r="A33" s="126"/>
      <c r="B33" s="132"/>
      <c r="C33" s="132"/>
      <c r="D33" s="132"/>
      <c r="E33" s="133"/>
      <c r="F33" s="132"/>
      <c r="G33" s="133"/>
      <c r="H33" s="133"/>
      <c r="I33" s="133"/>
      <c r="J33" s="127"/>
    </row>
    <row r="34" spans="1:10" ht="15.75" x14ac:dyDescent="0.25">
      <c r="A34" s="126"/>
      <c r="B34" s="132"/>
      <c r="C34" s="132"/>
      <c r="D34" s="132"/>
      <c r="E34" s="132"/>
      <c r="F34" s="132"/>
      <c r="G34" s="132"/>
      <c r="H34" s="132"/>
      <c r="I34" s="132"/>
      <c r="J34" s="127"/>
    </row>
    <row r="35" spans="1:10" ht="15.75" x14ac:dyDescent="0.25">
      <c r="A35" s="126"/>
      <c r="B35" s="132"/>
      <c r="C35" s="132"/>
      <c r="D35" s="132"/>
      <c r="E35" s="132"/>
      <c r="F35" s="132"/>
      <c r="G35" s="132"/>
      <c r="H35" s="132"/>
      <c r="I35" s="133"/>
      <c r="J35" s="127"/>
    </row>
    <row r="36" spans="1:10" ht="15.75" x14ac:dyDescent="0.25">
      <c r="A36" s="126"/>
      <c r="B36" s="132"/>
      <c r="C36" s="132"/>
      <c r="D36" s="132"/>
      <c r="E36" s="132"/>
      <c r="F36" s="132"/>
      <c r="G36" s="132"/>
      <c r="H36" s="132"/>
      <c r="I36" s="132"/>
      <c r="J36" s="127"/>
    </row>
    <row r="37" spans="1:10" ht="15.75" x14ac:dyDescent="0.25">
      <c r="A37" s="126"/>
      <c r="B37" s="132"/>
      <c r="C37" s="132"/>
      <c r="D37" s="132"/>
      <c r="E37" s="132"/>
      <c r="F37" s="132"/>
      <c r="G37" s="132"/>
      <c r="H37" s="132"/>
      <c r="I37" s="132"/>
      <c r="J37" s="127"/>
    </row>
    <row r="38" spans="1:10" ht="15.75" x14ac:dyDescent="0.25">
      <c r="A38" s="126"/>
      <c r="B38" s="293" t="s">
        <v>176</v>
      </c>
      <c r="C38" s="293"/>
      <c r="D38" s="293"/>
      <c r="E38" s="132"/>
      <c r="F38" s="293" t="s">
        <v>361</v>
      </c>
      <c r="G38" s="293"/>
      <c r="H38" s="293"/>
      <c r="I38" s="293"/>
      <c r="J38" s="127"/>
    </row>
    <row r="39" spans="1:10" ht="15.75" x14ac:dyDescent="0.25">
      <c r="A39" s="126"/>
      <c r="B39" s="294" t="s">
        <v>177</v>
      </c>
      <c r="C39" s="294"/>
      <c r="D39" s="294"/>
      <c r="E39" s="132"/>
      <c r="F39" s="294" t="s">
        <v>327</v>
      </c>
      <c r="G39" s="294"/>
      <c r="H39" s="294"/>
      <c r="I39" s="294"/>
      <c r="J39" s="127"/>
    </row>
    <row r="40" spans="1:10" ht="15.75" x14ac:dyDescent="0.25">
      <c r="A40" s="126"/>
      <c r="B40" s="132"/>
      <c r="C40" s="132"/>
      <c r="D40" s="132"/>
      <c r="E40" s="132"/>
      <c r="F40" s="132"/>
      <c r="G40" s="132"/>
      <c r="H40" s="132"/>
      <c r="I40" s="132"/>
      <c r="J40" s="127"/>
    </row>
    <row r="41" spans="1:10" ht="15.75" x14ac:dyDescent="0.25">
      <c r="A41" s="40"/>
      <c r="B41" s="41"/>
      <c r="C41" s="41"/>
      <c r="D41" s="41"/>
      <c r="E41" s="132"/>
      <c r="F41" s="132"/>
      <c r="G41" s="132"/>
      <c r="H41" s="132"/>
      <c r="I41" s="132"/>
      <c r="J41" s="127"/>
    </row>
    <row r="42" spans="1:10" ht="15.75" x14ac:dyDescent="0.25">
      <c r="A42" s="40"/>
      <c r="B42" s="41"/>
      <c r="C42" s="41"/>
      <c r="D42" s="41"/>
      <c r="E42" s="132"/>
      <c r="F42" s="132"/>
      <c r="G42" s="132"/>
      <c r="H42" s="132"/>
      <c r="I42" s="132"/>
      <c r="J42" s="127"/>
    </row>
    <row r="43" spans="1:10" ht="16.5" thickBot="1" x14ac:dyDescent="0.3">
      <c r="A43" s="43"/>
      <c r="B43" s="44"/>
      <c r="C43" s="44"/>
      <c r="D43" s="44"/>
      <c r="E43" s="128"/>
      <c r="F43" s="128"/>
      <c r="G43" s="128"/>
      <c r="H43" s="128"/>
      <c r="I43" s="128"/>
      <c r="J43" s="129"/>
    </row>
  </sheetData>
  <mergeCells count="105">
    <mergeCell ref="F38:I38"/>
    <mergeCell ref="F39:I39"/>
    <mergeCell ref="B38:D38"/>
    <mergeCell ref="B39:D39"/>
    <mergeCell ref="A30:B31"/>
    <mergeCell ref="E30:F30"/>
    <mergeCell ref="G30:H30"/>
    <mergeCell ref="I30:J30"/>
    <mergeCell ref="E31:F31"/>
    <mergeCell ref="G31:H31"/>
    <mergeCell ref="I31:J31"/>
    <mergeCell ref="A28:A29"/>
    <mergeCell ref="B28:B29"/>
    <mergeCell ref="E28:F28"/>
    <mergeCell ref="G28:H28"/>
    <mergeCell ref="I28:J28"/>
    <mergeCell ref="E29:F29"/>
    <mergeCell ref="G29:H29"/>
    <mergeCell ref="I29:J29"/>
    <mergeCell ref="A26:A27"/>
    <mergeCell ref="B26:B27"/>
    <mergeCell ref="E26:F26"/>
    <mergeCell ref="G26:H26"/>
    <mergeCell ref="I26:J26"/>
    <mergeCell ref="E27:F27"/>
    <mergeCell ref="G27:H27"/>
    <mergeCell ref="I27:J27"/>
    <mergeCell ref="A24:A25"/>
    <mergeCell ref="B24:B25"/>
    <mergeCell ref="E24:F24"/>
    <mergeCell ref="G24:H24"/>
    <mergeCell ref="I24:J24"/>
    <mergeCell ref="E25:F25"/>
    <mergeCell ref="G25:H25"/>
    <mergeCell ref="I25:J25"/>
    <mergeCell ref="A22:A23"/>
    <mergeCell ref="B22:B23"/>
    <mergeCell ref="E22:F22"/>
    <mergeCell ref="G22:H22"/>
    <mergeCell ref="I22:J22"/>
    <mergeCell ref="E23:F23"/>
    <mergeCell ref="G23:H23"/>
    <mergeCell ref="I23:J23"/>
    <mergeCell ref="A16:A17"/>
    <mergeCell ref="B16:B17"/>
    <mergeCell ref="E16:F16"/>
    <mergeCell ref="G16:H16"/>
    <mergeCell ref="I16:J16"/>
    <mergeCell ref="E17:F17"/>
    <mergeCell ref="G17:H17"/>
    <mergeCell ref="I17:J17"/>
    <mergeCell ref="A20:A21"/>
    <mergeCell ref="B20:B21"/>
    <mergeCell ref="E20:F20"/>
    <mergeCell ref="G20:H20"/>
    <mergeCell ref="I20:J20"/>
    <mergeCell ref="E21:F21"/>
    <mergeCell ref="G21:H21"/>
    <mergeCell ref="I21:J21"/>
    <mergeCell ref="A18:A19"/>
    <mergeCell ref="B18:B19"/>
    <mergeCell ref="E18:F18"/>
    <mergeCell ref="G18:H18"/>
    <mergeCell ref="I18:J18"/>
    <mergeCell ref="E19:F19"/>
    <mergeCell ref="G19:H19"/>
    <mergeCell ref="I19:J19"/>
    <mergeCell ref="A12:A13"/>
    <mergeCell ref="B12:B13"/>
    <mergeCell ref="E12:F12"/>
    <mergeCell ref="G12:H12"/>
    <mergeCell ref="I12:J12"/>
    <mergeCell ref="E13:F13"/>
    <mergeCell ref="G13:H13"/>
    <mergeCell ref="I13:J13"/>
    <mergeCell ref="A14:A15"/>
    <mergeCell ref="B14:B15"/>
    <mergeCell ref="E14:F14"/>
    <mergeCell ref="G14:H14"/>
    <mergeCell ref="I14:J14"/>
    <mergeCell ref="E15:F15"/>
    <mergeCell ref="G15:H15"/>
    <mergeCell ref="I15:J15"/>
    <mergeCell ref="A6:F6"/>
    <mergeCell ref="A7:F7"/>
    <mergeCell ref="A8:J8"/>
    <mergeCell ref="A9:A11"/>
    <mergeCell ref="B9:B11"/>
    <mergeCell ref="C9:C11"/>
    <mergeCell ref="D9:D11"/>
    <mergeCell ref="E9:F10"/>
    <mergeCell ref="G9:H10"/>
    <mergeCell ref="I9:J10"/>
    <mergeCell ref="E11:F11"/>
    <mergeCell ref="G11:H11"/>
    <mergeCell ref="I11:J11"/>
    <mergeCell ref="A1:J2"/>
    <mergeCell ref="A3:F3"/>
    <mergeCell ref="G3:H3"/>
    <mergeCell ref="I3:J3"/>
    <mergeCell ref="A4:F4"/>
    <mergeCell ref="G4:H4"/>
    <mergeCell ref="I4:J4"/>
    <mergeCell ref="A5:F5"/>
    <mergeCell ref="G5:J5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2D84-2C7B-445F-8978-EDCE05F4504A}">
  <sheetPr>
    <pageSetUpPr fitToPage="1"/>
  </sheetPr>
  <dimension ref="B1:G82"/>
  <sheetViews>
    <sheetView view="pageBreakPreview" zoomScaleNormal="100" zoomScaleSheetLayoutView="100" workbookViewId="0">
      <selection activeCell="E88" sqref="E88"/>
    </sheetView>
  </sheetViews>
  <sheetFormatPr defaultRowHeight="15" x14ac:dyDescent="0.25"/>
  <cols>
    <col min="2" max="2" width="12.42578125" customWidth="1"/>
    <col min="3" max="4" width="15.5703125" customWidth="1"/>
    <col min="5" max="7" width="18.42578125" customWidth="1"/>
  </cols>
  <sheetData>
    <row r="1" spans="2:7" ht="20.25" x14ac:dyDescent="0.3">
      <c r="B1" s="322" t="s">
        <v>368</v>
      </c>
      <c r="C1" s="323"/>
      <c r="D1" s="323"/>
      <c r="E1" s="323"/>
      <c r="F1" s="323"/>
      <c r="G1" s="324"/>
    </row>
    <row r="2" spans="2:7" ht="15.75" x14ac:dyDescent="0.25">
      <c r="B2" s="312" t="s">
        <v>209</v>
      </c>
      <c r="C2" s="313"/>
      <c r="D2" s="313"/>
      <c r="E2" s="313"/>
      <c r="F2" s="313"/>
      <c r="G2" s="314"/>
    </row>
    <row r="3" spans="2:7" ht="15.75" x14ac:dyDescent="0.25">
      <c r="B3" s="134" t="s">
        <v>195</v>
      </c>
      <c r="C3" s="65" t="s">
        <v>196</v>
      </c>
      <c r="D3" s="65" t="s">
        <v>197</v>
      </c>
      <c r="E3" s="65" t="s">
        <v>198</v>
      </c>
      <c r="F3" s="65" t="s">
        <v>199</v>
      </c>
      <c r="G3" s="135" t="s">
        <v>200</v>
      </c>
    </row>
    <row r="4" spans="2:7" ht="15.75" x14ac:dyDescent="0.25">
      <c r="B4" s="300" t="s">
        <v>201</v>
      </c>
      <c r="C4" s="106">
        <v>1</v>
      </c>
      <c r="D4" s="106" t="s">
        <v>203</v>
      </c>
      <c r="E4" s="107">
        <f>4*3</f>
        <v>12</v>
      </c>
      <c r="F4" s="107">
        <v>240</v>
      </c>
      <c r="G4" s="136">
        <f>ROUND(SUM(F4*E4),2)</f>
        <v>2880</v>
      </c>
    </row>
    <row r="5" spans="2:7" ht="15.75" x14ac:dyDescent="0.25">
      <c r="B5" s="300"/>
      <c r="C5" s="106">
        <v>2</v>
      </c>
      <c r="D5" s="106" t="s">
        <v>203</v>
      </c>
      <c r="E5" s="107">
        <f>4*8</f>
        <v>32</v>
      </c>
      <c r="F5" s="107">
        <v>200</v>
      </c>
      <c r="G5" s="136">
        <f t="shared" ref="G5:G8" si="0">ROUND(SUM(F5*E5),2)</f>
        <v>6400</v>
      </c>
    </row>
    <row r="6" spans="2:7" ht="15.75" x14ac:dyDescent="0.25">
      <c r="B6" s="300"/>
      <c r="C6" s="106">
        <v>3</v>
      </c>
      <c r="D6" s="106" t="s">
        <v>211</v>
      </c>
      <c r="E6" s="107">
        <f>3*7</f>
        <v>21</v>
      </c>
      <c r="F6" s="107">
        <v>1380</v>
      </c>
      <c r="G6" s="136">
        <f t="shared" si="0"/>
        <v>28980</v>
      </c>
    </row>
    <row r="7" spans="2:7" ht="15.75" x14ac:dyDescent="0.25">
      <c r="B7" s="300"/>
      <c r="C7" s="106">
        <v>4</v>
      </c>
      <c r="D7" s="315" t="s">
        <v>212</v>
      </c>
      <c r="E7" s="107">
        <f>3*40</f>
        <v>120</v>
      </c>
      <c r="F7" s="107">
        <v>580</v>
      </c>
      <c r="G7" s="136">
        <f t="shared" si="0"/>
        <v>69600</v>
      </c>
    </row>
    <row r="8" spans="2:7" ht="15.75" x14ac:dyDescent="0.25">
      <c r="B8" s="300"/>
      <c r="C8" s="106">
        <v>5</v>
      </c>
      <c r="D8" s="315"/>
      <c r="E8" s="107">
        <f>3*18</f>
        <v>54</v>
      </c>
      <c r="F8" s="107">
        <v>1100</v>
      </c>
      <c r="G8" s="136">
        <f t="shared" si="0"/>
        <v>59400</v>
      </c>
    </row>
    <row r="9" spans="2:7" ht="15.75" x14ac:dyDescent="0.25">
      <c r="B9" s="312" t="s">
        <v>210</v>
      </c>
      <c r="C9" s="313"/>
      <c r="D9" s="313"/>
      <c r="E9" s="313"/>
      <c r="F9" s="313"/>
      <c r="G9" s="314"/>
    </row>
    <row r="10" spans="2:7" ht="31.5" x14ac:dyDescent="0.25">
      <c r="B10" s="105" t="s">
        <v>195</v>
      </c>
      <c r="C10" s="102" t="s">
        <v>197</v>
      </c>
      <c r="D10" s="102" t="s">
        <v>204</v>
      </c>
      <c r="E10" s="102" t="s">
        <v>205</v>
      </c>
      <c r="F10" s="21" t="s">
        <v>206</v>
      </c>
      <c r="G10" s="137" t="s">
        <v>207</v>
      </c>
    </row>
    <row r="11" spans="2:7" ht="15.75" x14ac:dyDescent="0.25">
      <c r="B11" s="300" t="s">
        <v>201</v>
      </c>
      <c r="C11" s="107" t="str">
        <f>D4</f>
        <v>6.3</v>
      </c>
      <c r="D11" s="66" cm="1">
        <f t="array" ref="D11">ROUND(SUM(G4:G5/100),2)</f>
        <v>92.8</v>
      </c>
      <c r="E11" s="107">
        <v>0.245</v>
      </c>
      <c r="F11" s="66">
        <f>ROUND(SUM((D11*1.1)/12),0)</f>
        <v>9</v>
      </c>
      <c r="G11" s="136">
        <f>ROUND(SUM((D11*1.1)*E11),2)</f>
        <v>25.01</v>
      </c>
    </row>
    <row r="12" spans="2:7" ht="15.75" x14ac:dyDescent="0.25">
      <c r="B12" s="300"/>
      <c r="C12" s="107" t="s">
        <v>211</v>
      </c>
      <c r="D12" s="66">
        <f>ROUND(SUM(G6/100),2)</f>
        <v>289.8</v>
      </c>
      <c r="E12" s="107">
        <v>0.61699999999999999</v>
      </c>
      <c r="F12" s="66">
        <f t="shared" ref="F12:F13" si="1">ROUND(SUM((D12*1.1)/12),0)</f>
        <v>27</v>
      </c>
      <c r="G12" s="136">
        <f t="shared" ref="G12:G13" si="2">ROUND(SUM((D12*1.1)*E12),2)</f>
        <v>196.69</v>
      </c>
    </row>
    <row r="13" spans="2:7" ht="15.75" x14ac:dyDescent="0.25">
      <c r="B13" s="300"/>
      <c r="C13" s="107" t="s">
        <v>212</v>
      </c>
      <c r="D13" s="66" cm="1">
        <f t="array" ref="D13">ROUND(SUM((G7:G8)/100),2)</f>
        <v>1290</v>
      </c>
      <c r="E13" s="107">
        <v>0.96299999999999997</v>
      </c>
      <c r="F13" s="66">
        <f t="shared" si="1"/>
        <v>118</v>
      </c>
      <c r="G13" s="136">
        <f t="shared" si="2"/>
        <v>1366.5</v>
      </c>
    </row>
    <row r="14" spans="2:7" ht="15.75" x14ac:dyDescent="0.25">
      <c r="B14" s="304" t="s">
        <v>208</v>
      </c>
      <c r="C14" s="305"/>
      <c r="D14" s="305"/>
      <c r="E14" s="305"/>
      <c r="F14" s="305"/>
      <c r="G14" s="138">
        <f>ROUND(SUM(G11:G13),2)</f>
        <v>1588.2</v>
      </c>
    </row>
    <row r="15" spans="2:7" x14ac:dyDescent="0.25">
      <c r="B15" s="306"/>
      <c r="C15" s="307"/>
      <c r="D15" s="307"/>
      <c r="E15" s="307"/>
      <c r="F15" s="307"/>
      <c r="G15" s="308"/>
    </row>
    <row r="16" spans="2:7" ht="15.75" x14ac:dyDescent="0.25">
      <c r="B16" s="316" t="s">
        <v>213</v>
      </c>
      <c r="C16" s="317"/>
      <c r="D16" s="317"/>
      <c r="E16" s="317"/>
      <c r="F16" s="317"/>
      <c r="G16" s="318"/>
    </row>
    <row r="17" spans="2:7" ht="15.75" x14ac:dyDescent="0.25">
      <c r="B17" s="134" t="s">
        <v>195</v>
      </c>
      <c r="C17" s="65" t="s">
        <v>196</v>
      </c>
      <c r="D17" s="65" t="s">
        <v>197</v>
      </c>
      <c r="E17" s="65" t="s">
        <v>198</v>
      </c>
      <c r="F17" s="65" t="s">
        <v>199</v>
      </c>
      <c r="G17" s="135" t="s">
        <v>200</v>
      </c>
    </row>
    <row r="18" spans="2:7" ht="15.75" x14ac:dyDescent="0.25">
      <c r="B18" s="300" t="s">
        <v>201</v>
      </c>
      <c r="C18" s="106">
        <v>1</v>
      </c>
      <c r="D18" s="106">
        <v>16</v>
      </c>
      <c r="E18" s="107">
        <f>(4*4)+(4*24)+(2*28)</f>
        <v>168</v>
      </c>
      <c r="F18" s="107">
        <f>(4*4*125)+(4*24*154)+(2*28*154)</f>
        <v>25408</v>
      </c>
      <c r="G18" s="136">
        <f>F18</f>
        <v>25408</v>
      </c>
    </row>
    <row r="19" spans="2:7" ht="15.75" x14ac:dyDescent="0.25">
      <c r="B19" s="300"/>
      <c r="C19" s="106">
        <v>2</v>
      </c>
      <c r="D19" s="106" t="s">
        <v>203</v>
      </c>
      <c r="E19" s="107">
        <f>(4*2)+(4*5)+(2*5)</f>
        <v>38</v>
      </c>
      <c r="F19" s="107">
        <f>(4*2*160)+(4*5*396)+(2*5*485)</f>
        <v>14050</v>
      </c>
      <c r="G19" s="136">
        <f t="shared" ref="G19:G20" si="3">F19</f>
        <v>14050</v>
      </c>
    </row>
    <row r="20" spans="2:7" ht="15.75" x14ac:dyDescent="0.25">
      <c r="B20" s="300"/>
      <c r="C20" s="106">
        <v>3</v>
      </c>
      <c r="D20" s="106" t="s">
        <v>203</v>
      </c>
      <c r="E20" s="107">
        <f>(4*5*5)+(2*5*6)</f>
        <v>160</v>
      </c>
      <c r="F20" s="107">
        <f>(4*5*5*115)+(2*5*6*135)</f>
        <v>19600</v>
      </c>
      <c r="G20" s="136">
        <f t="shared" si="3"/>
        <v>19600</v>
      </c>
    </row>
    <row r="21" spans="2:7" ht="15.75" x14ac:dyDescent="0.25">
      <c r="B21" s="316" t="s">
        <v>214</v>
      </c>
      <c r="C21" s="317"/>
      <c r="D21" s="317"/>
      <c r="E21" s="317"/>
      <c r="F21" s="317"/>
      <c r="G21" s="318"/>
    </row>
    <row r="22" spans="2:7" ht="31.5" x14ac:dyDescent="0.25">
      <c r="B22" s="105" t="s">
        <v>195</v>
      </c>
      <c r="C22" s="102" t="s">
        <v>197</v>
      </c>
      <c r="D22" s="102" t="s">
        <v>204</v>
      </c>
      <c r="E22" s="102" t="s">
        <v>205</v>
      </c>
      <c r="F22" s="21" t="s">
        <v>206</v>
      </c>
      <c r="G22" s="137" t="s">
        <v>207</v>
      </c>
    </row>
    <row r="23" spans="2:7" ht="15.75" x14ac:dyDescent="0.25">
      <c r="B23" s="300" t="s">
        <v>201</v>
      </c>
      <c r="C23" s="107">
        <f>D18</f>
        <v>16</v>
      </c>
      <c r="D23" s="66">
        <f>ROUND(SUM(G18/100),2)</f>
        <v>254.08</v>
      </c>
      <c r="E23" s="107">
        <v>1.5780000000000001</v>
      </c>
      <c r="F23" s="66">
        <f>ROUND(SUM((D23*1.1)/12),0)</f>
        <v>23</v>
      </c>
      <c r="G23" s="136">
        <f>ROUND(SUM((D23*1.1)*E23),2)</f>
        <v>441.03</v>
      </c>
    </row>
    <row r="24" spans="2:7" ht="15.75" x14ac:dyDescent="0.25">
      <c r="B24" s="300"/>
      <c r="C24" s="107" t="s">
        <v>203</v>
      </c>
      <c r="D24" s="66" cm="1">
        <f t="array" ref="D24">ROUND(SUM(G19:G20/100),2)</f>
        <v>336.5</v>
      </c>
      <c r="E24" s="107">
        <v>0.245</v>
      </c>
      <c r="F24" s="66">
        <f t="shared" ref="F24" si="4">ROUND(SUM((D24*1.1)/12),0)</f>
        <v>31</v>
      </c>
      <c r="G24" s="136">
        <f t="shared" ref="G24" si="5">ROUND(SUM((D24*1.1)*E24),2)</f>
        <v>90.69</v>
      </c>
    </row>
    <row r="25" spans="2:7" ht="15.75" x14ac:dyDescent="0.25">
      <c r="B25" s="304" t="s">
        <v>208</v>
      </c>
      <c r="C25" s="305"/>
      <c r="D25" s="305"/>
      <c r="E25" s="305"/>
      <c r="F25" s="305"/>
      <c r="G25" s="138">
        <f>ROUND(SUM(G23:G24),2)</f>
        <v>531.72</v>
      </c>
    </row>
    <row r="26" spans="2:7" x14ac:dyDescent="0.25">
      <c r="B26" s="306"/>
      <c r="C26" s="307"/>
      <c r="D26" s="307"/>
      <c r="E26" s="307"/>
      <c r="F26" s="307"/>
      <c r="G26" s="308"/>
    </row>
    <row r="27" spans="2:7" ht="15.75" x14ac:dyDescent="0.25">
      <c r="B27" s="319" t="s">
        <v>215</v>
      </c>
      <c r="C27" s="320"/>
      <c r="D27" s="320"/>
      <c r="E27" s="320"/>
      <c r="F27" s="320"/>
      <c r="G27" s="321"/>
    </row>
    <row r="28" spans="2:7" ht="15.75" x14ac:dyDescent="0.25">
      <c r="B28" s="134" t="s">
        <v>195</v>
      </c>
      <c r="C28" s="65" t="s">
        <v>196</v>
      </c>
      <c r="D28" s="65" t="s">
        <v>197</v>
      </c>
      <c r="E28" s="65" t="s">
        <v>198</v>
      </c>
      <c r="F28" s="65" t="s">
        <v>199</v>
      </c>
      <c r="G28" s="135" t="s">
        <v>200</v>
      </c>
    </row>
    <row r="29" spans="2:7" ht="15.75" x14ac:dyDescent="0.25">
      <c r="B29" s="300" t="s">
        <v>201</v>
      </c>
      <c r="C29" s="106">
        <v>1</v>
      </c>
      <c r="D29" s="106">
        <v>16</v>
      </c>
      <c r="E29" s="107">
        <f>(4*4)+(4*24)+(2*28)</f>
        <v>168</v>
      </c>
      <c r="F29" s="107">
        <f>(4*4*500)+(4*24*467)+(2*28*467)</f>
        <v>78984</v>
      </c>
      <c r="G29" s="136">
        <f>F29</f>
        <v>78984</v>
      </c>
    </row>
    <row r="30" spans="2:7" ht="15.75" x14ac:dyDescent="0.25">
      <c r="B30" s="300"/>
      <c r="C30" s="106">
        <v>2</v>
      </c>
      <c r="D30" s="106" t="s">
        <v>203</v>
      </c>
      <c r="E30" s="107">
        <f>(4*35)+(4*31)+(2*31)</f>
        <v>326</v>
      </c>
      <c r="F30" s="107">
        <f>(4*35*160)+(4*31*396)+(2*31*485)</f>
        <v>101574</v>
      </c>
      <c r="G30" s="136">
        <f t="shared" ref="G30:G31" si="6">F30</f>
        <v>101574</v>
      </c>
    </row>
    <row r="31" spans="2:7" ht="15.75" x14ac:dyDescent="0.25">
      <c r="B31" s="300"/>
      <c r="C31" s="106">
        <v>3</v>
      </c>
      <c r="D31" s="106" t="s">
        <v>203</v>
      </c>
      <c r="E31" s="107">
        <f>(4*5*31)+(2*5*31)</f>
        <v>930</v>
      </c>
      <c r="F31" s="107">
        <f>(4*5*31*115)+(2*5*31*135)</f>
        <v>113150</v>
      </c>
      <c r="G31" s="136">
        <f t="shared" si="6"/>
        <v>113150</v>
      </c>
    </row>
    <row r="32" spans="2:7" ht="15.75" x14ac:dyDescent="0.25">
      <c r="B32" s="319" t="s">
        <v>215</v>
      </c>
      <c r="C32" s="320"/>
      <c r="D32" s="320"/>
      <c r="E32" s="320"/>
      <c r="F32" s="320"/>
      <c r="G32" s="321"/>
    </row>
    <row r="33" spans="2:7" ht="31.5" x14ac:dyDescent="0.25">
      <c r="B33" s="105" t="s">
        <v>195</v>
      </c>
      <c r="C33" s="102" t="s">
        <v>197</v>
      </c>
      <c r="D33" s="102" t="s">
        <v>204</v>
      </c>
      <c r="E33" s="102" t="s">
        <v>205</v>
      </c>
      <c r="F33" s="21" t="s">
        <v>206</v>
      </c>
      <c r="G33" s="137" t="s">
        <v>207</v>
      </c>
    </row>
    <row r="34" spans="2:7" ht="15.75" x14ac:dyDescent="0.25">
      <c r="B34" s="300" t="s">
        <v>201</v>
      </c>
      <c r="C34" s="107">
        <f>D29</f>
        <v>16</v>
      </c>
      <c r="D34" s="66">
        <f>ROUND(SUM(G29/100),2)</f>
        <v>789.84</v>
      </c>
      <c r="E34" s="107">
        <v>1.5780000000000001</v>
      </c>
      <c r="F34" s="66">
        <f>ROUND(SUM((D34*1.1)/12),0)</f>
        <v>72</v>
      </c>
      <c r="G34" s="136">
        <f>ROUND(SUM((D34*1.1)*E34),2)</f>
        <v>1371</v>
      </c>
    </row>
    <row r="35" spans="2:7" ht="15.75" x14ac:dyDescent="0.25">
      <c r="B35" s="300"/>
      <c r="C35" s="107" t="s">
        <v>203</v>
      </c>
      <c r="D35" s="66" cm="1">
        <f t="array" ref="D35">ROUND(SUM(G30:G31/100),2)</f>
        <v>2147.2399999999998</v>
      </c>
      <c r="E35" s="107">
        <v>0.245</v>
      </c>
      <c r="F35" s="66">
        <f t="shared" ref="F35" si="7">ROUND(SUM((D35*1.1)/12),0)</f>
        <v>197</v>
      </c>
      <c r="G35" s="136">
        <f t="shared" ref="G35" si="8">ROUND(SUM((D35*1.1)*E35),2)</f>
        <v>578.67999999999995</v>
      </c>
    </row>
    <row r="36" spans="2:7" ht="15.75" x14ac:dyDescent="0.25">
      <c r="B36" s="304" t="s">
        <v>208</v>
      </c>
      <c r="C36" s="305"/>
      <c r="D36" s="305"/>
      <c r="E36" s="305"/>
      <c r="F36" s="305"/>
      <c r="G36" s="138">
        <f>ROUND(SUM(G34:G35),2)</f>
        <v>1949.68</v>
      </c>
    </row>
    <row r="37" spans="2:7" x14ac:dyDescent="0.25">
      <c r="B37" s="306"/>
      <c r="C37" s="307"/>
      <c r="D37" s="307"/>
      <c r="E37" s="307"/>
      <c r="F37" s="307"/>
      <c r="G37" s="308"/>
    </row>
    <row r="38" spans="2:7" ht="15.75" x14ac:dyDescent="0.25">
      <c r="B38" s="325" t="s">
        <v>216</v>
      </c>
      <c r="C38" s="326"/>
      <c r="D38" s="326"/>
      <c r="E38" s="326"/>
      <c r="F38" s="326"/>
      <c r="G38" s="327"/>
    </row>
    <row r="39" spans="2:7" ht="15.75" x14ac:dyDescent="0.25">
      <c r="B39" s="134" t="s">
        <v>195</v>
      </c>
      <c r="C39" s="65" t="s">
        <v>196</v>
      </c>
      <c r="D39" s="65" t="s">
        <v>197</v>
      </c>
      <c r="E39" s="65" t="s">
        <v>198</v>
      </c>
      <c r="F39" s="65" t="s">
        <v>199</v>
      </c>
      <c r="G39" s="135" t="s">
        <v>200</v>
      </c>
    </row>
    <row r="40" spans="2:7" ht="15.75" x14ac:dyDescent="0.25">
      <c r="B40" s="300" t="s">
        <v>201</v>
      </c>
      <c r="C40" s="106">
        <v>1</v>
      </c>
      <c r="D40" s="106" t="s">
        <v>217</v>
      </c>
      <c r="E40" s="107">
        <f>80*2</f>
        <v>160</v>
      </c>
      <c r="F40" s="107">
        <v>520</v>
      </c>
      <c r="G40" s="136">
        <f>F40*E40</f>
        <v>83200</v>
      </c>
    </row>
    <row r="41" spans="2:7" ht="15.75" x14ac:dyDescent="0.25">
      <c r="B41" s="300"/>
      <c r="C41" s="106">
        <v>2</v>
      </c>
      <c r="D41" s="106" t="s">
        <v>211</v>
      </c>
      <c r="E41" s="107">
        <f>80*2</f>
        <v>160</v>
      </c>
      <c r="F41" s="107">
        <v>520</v>
      </c>
      <c r="G41" s="136">
        <f t="shared" ref="G41:G43" si="9">F41*E41</f>
        <v>83200</v>
      </c>
    </row>
    <row r="42" spans="2:7" ht="15.75" x14ac:dyDescent="0.25">
      <c r="B42" s="300"/>
      <c r="C42" s="106">
        <v>3</v>
      </c>
      <c r="D42" s="106" t="s">
        <v>211</v>
      </c>
      <c r="E42" s="107">
        <f>28*2</f>
        <v>56</v>
      </c>
      <c r="F42" s="107">
        <f>1015+280</f>
        <v>1295</v>
      </c>
      <c r="G42" s="136">
        <f t="shared" si="9"/>
        <v>72520</v>
      </c>
    </row>
    <row r="43" spans="2:7" ht="15.75" x14ac:dyDescent="0.25">
      <c r="B43" s="139"/>
      <c r="C43" s="106">
        <v>4</v>
      </c>
      <c r="D43" s="106" t="s">
        <v>211</v>
      </c>
      <c r="E43" s="107">
        <f>35*2</f>
        <v>70</v>
      </c>
      <c r="F43" s="107">
        <v>1295</v>
      </c>
      <c r="G43" s="136">
        <f t="shared" si="9"/>
        <v>90650</v>
      </c>
    </row>
    <row r="44" spans="2:7" ht="15.75" x14ac:dyDescent="0.25">
      <c r="B44" s="325" t="s">
        <v>216</v>
      </c>
      <c r="C44" s="326"/>
      <c r="D44" s="326"/>
      <c r="E44" s="326"/>
      <c r="F44" s="326"/>
      <c r="G44" s="327"/>
    </row>
    <row r="45" spans="2:7" ht="31.5" x14ac:dyDescent="0.25">
      <c r="B45" s="105" t="s">
        <v>195</v>
      </c>
      <c r="C45" s="102" t="s">
        <v>197</v>
      </c>
      <c r="D45" s="102" t="s">
        <v>204</v>
      </c>
      <c r="E45" s="102" t="s">
        <v>205</v>
      </c>
      <c r="F45" s="21" t="s">
        <v>206</v>
      </c>
      <c r="G45" s="137" t="s">
        <v>207</v>
      </c>
    </row>
    <row r="46" spans="2:7" ht="15.75" x14ac:dyDescent="0.25">
      <c r="B46" s="300" t="s">
        <v>201</v>
      </c>
      <c r="C46" s="107" t="str">
        <f>D40</f>
        <v>8.0</v>
      </c>
      <c r="D46" s="66">
        <f>ROUND(SUM(G40/100),2)</f>
        <v>832</v>
      </c>
      <c r="E46" s="107">
        <v>0.39500000000000002</v>
      </c>
      <c r="F46" s="66">
        <f>ROUND(SUM((D46*1.1)/12),0)</f>
        <v>76</v>
      </c>
      <c r="G46" s="136">
        <f>ROUND(SUM((D46*1.1)*E46),2)</f>
        <v>361.5</v>
      </c>
    </row>
    <row r="47" spans="2:7" ht="15.75" x14ac:dyDescent="0.25">
      <c r="B47" s="300"/>
      <c r="C47" s="107" t="s">
        <v>211</v>
      </c>
      <c r="D47" s="66" cm="1">
        <f t="array" ref="D47">ROUND(SUM(G41:G43/100),2)</f>
        <v>2463.6999999999998</v>
      </c>
      <c r="E47" s="107">
        <v>0.61699999999999999</v>
      </c>
      <c r="F47" s="66">
        <f t="shared" ref="F47" si="10">ROUND(SUM((D47*1.1)/12),0)</f>
        <v>226</v>
      </c>
      <c r="G47" s="136">
        <f t="shared" ref="G47" si="11">ROUND(SUM((D47*1.1)*E47),2)</f>
        <v>1672.11</v>
      </c>
    </row>
    <row r="48" spans="2:7" ht="15.75" x14ac:dyDescent="0.25">
      <c r="B48" s="304" t="s">
        <v>208</v>
      </c>
      <c r="C48" s="305"/>
      <c r="D48" s="305"/>
      <c r="E48" s="305"/>
      <c r="F48" s="305"/>
      <c r="G48" s="138">
        <f>ROUND(SUM(G46:G47),2)</f>
        <v>2033.61</v>
      </c>
    </row>
    <row r="49" spans="2:7" x14ac:dyDescent="0.25">
      <c r="B49" s="306"/>
      <c r="C49" s="307"/>
      <c r="D49" s="307"/>
      <c r="E49" s="307"/>
      <c r="F49" s="307"/>
      <c r="G49" s="308"/>
    </row>
    <row r="50" spans="2:7" ht="15.75" x14ac:dyDescent="0.25">
      <c r="B50" s="328" t="s">
        <v>218</v>
      </c>
      <c r="C50" s="329"/>
      <c r="D50" s="329"/>
      <c r="E50" s="329"/>
      <c r="F50" s="329"/>
      <c r="G50" s="330"/>
    </row>
    <row r="51" spans="2:7" ht="15.75" x14ac:dyDescent="0.25">
      <c r="B51" s="134" t="s">
        <v>195</v>
      </c>
      <c r="C51" s="65" t="s">
        <v>196</v>
      </c>
      <c r="D51" s="65" t="s">
        <v>197</v>
      </c>
      <c r="E51" s="65" t="s">
        <v>198</v>
      </c>
      <c r="F51" s="65" t="s">
        <v>199</v>
      </c>
      <c r="G51" s="135" t="s">
        <v>200</v>
      </c>
    </row>
    <row r="52" spans="2:7" ht="15.75" x14ac:dyDescent="0.25">
      <c r="B52" s="300" t="s">
        <v>201</v>
      </c>
      <c r="C52" s="106">
        <v>1</v>
      </c>
      <c r="D52" s="106" t="s">
        <v>203</v>
      </c>
      <c r="E52" s="107">
        <f>4*12</f>
        <v>48</v>
      </c>
      <c r="F52" s="107">
        <v>1200</v>
      </c>
      <c r="G52" s="136">
        <f t="shared" ref="G52:G54" si="12">F52*E52</f>
        <v>57600</v>
      </c>
    </row>
    <row r="53" spans="2:7" ht="15.75" x14ac:dyDescent="0.25">
      <c r="B53" s="300"/>
      <c r="C53" s="106">
        <v>2</v>
      </c>
      <c r="D53" s="106" t="s">
        <v>211</v>
      </c>
      <c r="E53" s="107">
        <f>4*160</f>
        <v>640</v>
      </c>
      <c r="F53" s="107">
        <v>110</v>
      </c>
      <c r="G53" s="136">
        <f t="shared" si="12"/>
        <v>70400</v>
      </c>
    </row>
    <row r="54" spans="2:7" ht="15.75" x14ac:dyDescent="0.25">
      <c r="B54" s="300"/>
      <c r="C54" s="106">
        <v>3</v>
      </c>
      <c r="D54" s="106" t="s">
        <v>212</v>
      </c>
      <c r="E54" s="107">
        <f>4*80</f>
        <v>320</v>
      </c>
      <c r="F54" s="107">
        <v>200</v>
      </c>
      <c r="G54" s="136">
        <f t="shared" si="12"/>
        <v>64000</v>
      </c>
    </row>
    <row r="55" spans="2:7" ht="15.75" x14ac:dyDescent="0.25">
      <c r="B55" s="328" t="s">
        <v>218</v>
      </c>
      <c r="C55" s="329"/>
      <c r="D55" s="329"/>
      <c r="E55" s="329"/>
      <c r="F55" s="329"/>
      <c r="G55" s="330"/>
    </row>
    <row r="56" spans="2:7" ht="31.5" x14ac:dyDescent="0.25">
      <c r="B56" s="105" t="s">
        <v>195</v>
      </c>
      <c r="C56" s="102" t="s">
        <v>197</v>
      </c>
      <c r="D56" s="102" t="s">
        <v>204</v>
      </c>
      <c r="E56" s="102" t="s">
        <v>205</v>
      </c>
      <c r="F56" s="21" t="s">
        <v>206</v>
      </c>
      <c r="G56" s="137" t="s">
        <v>207</v>
      </c>
    </row>
    <row r="57" spans="2:7" ht="15.75" x14ac:dyDescent="0.25">
      <c r="B57" s="300" t="s">
        <v>201</v>
      </c>
      <c r="C57" s="107" t="str">
        <f>D52</f>
        <v>6.3</v>
      </c>
      <c r="D57" s="66">
        <f>ROUND(SUM(G52/100),2)</f>
        <v>576</v>
      </c>
      <c r="E57" s="107">
        <v>0.245</v>
      </c>
      <c r="F57" s="66">
        <f>ROUND(SUM((D57*1.1)/12),0)</f>
        <v>53</v>
      </c>
      <c r="G57" s="136">
        <f>ROUND(SUM((D57*1.1)*E57),2)</f>
        <v>155.22999999999999</v>
      </c>
    </row>
    <row r="58" spans="2:7" ht="15.75" x14ac:dyDescent="0.25">
      <c r="B58" s="300"/>
      <c r="C58" s="107" t="s">
        <v>211</v>
      </c>
      <c r="D58" s="66">
        <f>ROUND(SUM(G53/100),2)</f>
        <v>704</v>
      </c>
      <c r="E58" s="107">
        <v>0.61699999999999999</v>
      </c>
      <c r="F58" s="66">
        <f t="shared" ref="F58:F59" si="13">ROUND(SUM((D58*1.1)/12),0)</f>
        <v>65</v>
      </c>
      <c r="G58" s="136">
        <f t="shared" ref="G58:G59" si="14">ROUND(SUM((D58*1.1)*E58),2)</f>
        <v>477.8</v>
      </c>
    </row>
    <row r="59" spans="2:7" ht="15.75" x14ac:dyDescent="0.25">
      <c r="B59" s="300"/>
      <c r="C59" s="107" t="s">
        <v>212</v>
      </c>
      <c r="D59" s="66">
        <f>ROUND(SUM(G54/100),2)</f>
        <v>640</v>
      </c>
      <c r="E59" s="107">
        <v>0.96299999999999997</v>
      </c>
      <c r="F59" s="66">
        <f t="shared" si="13"/>
        <v>59</v>
      </c>
      <c r="G59" s="136">
        <f t="shared" si="14"/>
        <v>677.95</v>
      </c>
    </row>
    <row r="60" spans="2:7" ht="15.75" x14ac:dyDescent="0.25">
      <c r="B60" s="304" t="s">
        <v>208</v>
      </c>
      <c r="C60" s="305"/>
      <c r="D60" s="305"/>
      <c r="E60" s="305"/>
      <c r="F60" s="305"/>
      <c r="G60" s="138">
        <f>ROUND(SUM(G57:G59),2)</f>
        <v>1310.98</v>
      </c>
    </row>
    <row r="61" spans="2:7" x14ac:dyDescent="0.25">
      <c r="B61" s="306"/>
      <c r="C61" s="307"/>
      <c r="D61" s="307"/>
      <c r="E61" s="307"/>
      <c r="F61" s="307"/>
      <c r="G61" s="308"/>
    </row>
    <row r="62" spans="2:7" ht="15.75" x14ac:dyDescent="0.25">
      <c r="B62" s="301" t="s">
        <v>219</v>
      </c>
      <c r="C62" s="302"/>
      <c r="D62" s="302"/>
      <c r="E62" s="302"/>
      <c r="F62" s="302"/>
      <c r="G62" s="303"/>
    </row>
    <row r="63" spans="2:7" ht="15.75" x14ac:dyDescent="0.25">
      <c r="B63" s="134" t="s">
        <v>195</v>
      </c>
      <c r="C63" s="65" t="s">
        <v>196</v>
      </c>
      <c r="D63" s="65" t="s">
        <v>197</v>
      </c>
      <c r="E63" s="65" t="s">
        <v>198</v>
      </c>
      <c r="F63" s="65" t="s">
        <v>199</v>
      </c>
      <c r="G63" s="135" t="s">
        <v>200</v>
      </c>
    </row>
    <row r="64" spans="2:7" ht="15.75" x14ac:dyDescent="0.25">
      <c r="B64" s="300" t="s">
        <v>201</v>
      </c>
      <c r="C64" s="106">
        <v>1</v>
      </c>
      <c r="D64" s="106" t="s">
        <v>217</v>
      </c>
      <c r="E64" s="107">
        <f>2*4*2</f>
        <v>16</v>
      </c>
      <c r="F64" s="107">
        <v>255</v>
      </c>
      <c r="G64" s="136">
        <f>F64*E64</f>
        <v>4080</v>
      </c>
    </row>
    <row r="65" spans="2:7" ht="15.75" x14ac:dyDescent="0.25">
      <c r="B65" s="300"/>
      <c r="C65" s="106">
        <v>2</v>
      </c>
      <c r="D65" s="106" t="s">
        <v>217</v>
      </c>
      <c r="E65" s="107">
        <f>2*4*2*2</f>
        <v>32</v>
      </c>
      <c r="F65" s="107">
        <v>510</v>
      </c>
      <c r="G65" s="136">
        <f t="shared" ref="G65:G71" si="15">F65*E65</f>
        <v>16320</v>
      </c>
    </row>
    <row r="66" spans="2:7" ht="15.75" x14ac:dyDescent="0.25">
      <c r="B66" s="300"/>
      <c r="C66" s="106">
        <v>3</v>
      </c>
      <c r="D66" s="106" t="s">
        <v>217</v>
      </c>
      <c r="E66" s="107">
        <f>2*2*34</f>
        <v>136</v>
      </c>
      <c r="F66" s="107">
        <v>1240</v>
      </c>
      <c r="G66" s="136">
        <f t="shared" si="15"/>
        <v>168640</v>
      </c>
    </row>
    <row r="67" spans="2:7" ht="15.75" x14ac:dyDescent="0.25">
      <c r="B67" s="300"/>
      <c r="C67" s="106">
        <v>4</v>
      </c>
      <c r="D67" s="106" t="s">
        <v>211</v>
      </c>
      <c r="E67" s="107">
        <f>2*2*27</f>
        <v>108</v>
      </c>
      <c r="F67" s="107">
        <f>MEDIAN(540+590)/2</f>
        <v>565</v>
      </c>
      <c r="G67" s="136">
        <f t="shared" si="15"/>
        <v>61020</v>
      </c>
    </row>
    <row r="68" spans="2:7" ht="15.75" x14ac:dyDescent="0.25">
      <c r="B68" s="300"/>
      <c r="C68" s="106">
        <v>5</v>
      </c>
      <c r="D68" s="106" t="s">
        <v>211</v>
      </c>
      <c r="E68" s="107">
        <f>2*2*28</f>
        <v>112</v>
      </c>
      <c r="F68" s="107">
        <v>590</v>
      </c>
      <c r="G68" s="136">
        <f t="shared" si="15"/>
        <v>66080</v>
      </c>
    </row>
    <row r="69" spans="2:7" ht="15.75" x14ac:dyDescent="0.25">
      <c r="B69" s="300"/>
      <c r="C69" s="106">
        <v>6</v>
      </c>
      <c r="D69" s="106" t="s">
        <v>217</v>
      </c>
      <c r="E69" s="107">
        <f>2*25</f>
        <v>50</v>
      </c>
      <c r="F69" s="107">
        <v>240</v>
      </c>
      <c r="G69" s="136">
        <f t="shared" si="15"/>
        <v>12000</v>
      </c>
    </row>
    <row r="70" spans="2:7" ht="15.75" x14ac:dyDescent="0.25">
      <c r="B70" s="300"/>
      <c r="C70" s="106">
        <v>7</v>
      </c>
      <c r="D70" s="106" t="s">
        <v>202</v>
      </c>
      <c r="E70" s="107">
        <f>4*2</f>
        <v>8</v>
      </c>
      <c r="F70" s="107">
        <v>712</v>
      </c>
      <c r="G70" s="136">
        <f t="shared" si="15"/>
        <v>5696</v>
      </c>
    </row>
    <row r="71" spans="2:7" ht="15.75" x14ac:dyDescent="0.25">
      <c r="B71" s="300"/>
      <c r="C71" s="106">
        <v>8</v>
      </c>
      <c r="D71" s="106" t="s">
        <v>217</v>
      </c>
      <c r="E71" s="107">
        <f>(2*27+2*27)*2</f>
        <v>216</v>
      </c>
      <c r="F71" s="107">
        <v>260</v>
      </c>
      <c r="G71" s="136">
        <f t="shared" si="15"/>
        <v>56160</v>
      </c>
    </row>
    <row r="72" spans="2:7" ht="15.75" x14ac:dyDescent="0.25">
      <c r="B72" s="301" t="s">
        <v>219</v>
      </c>
      <c r="C72" s="302"/>
      <c r="D72" s="302"/>
      <c r="E72" s="302"/>
      <c r="F72" s="302"/>
      <c r="G72" s="303"/>
    </row>
    <row r="73" spans="2:7" ht="31.5" x14ac:dyDescent="0.25">
      <c r="B73" s="105" t="s">
        <v>195</v>
      </c>
      <c r="C73" s="102" t="s">
        <v>197</v>
      </c>
      <c r="D73" s="102" t="s">
        <v>204</v>
      </c>
      <c r="E73" s="102" t="s">
        <v>205</v>
      </c>
      <c r="F73" s="21" t="s">
        <v>206</v>
      </c>
      <c r="G73" s="137" t="s">
        <v>207</v>
      </c>
    </row>
    <row r="74" spans="2:7" ht="15.75" x14ac:dyDescent="0.25">
      <c r="B74" s="300" t="s">
        <v>201</v>
      </c>
      <c r="C74" s="107" t="str">
        <f>D64</f>
        <v>8.0</v>
      </c>
      <c r="D74" s="66" cm="1">
        <f t="array" ref="D74">ROUND(SUM(((G64:G66)+G69+G71)/100),2)</f>
        <v>3935.2</v>
      </c>
      <c r="E74" s="107">
        <v>0.39500000000000002</v>
      </c>
      <c r="F74" s="66">
        <f>ROUND(SUM((D74*1.1)/12),0)</f>
        <v>361</v>
      </c>
      <c r="G74" s="136">
        <f>ROUND(SUM((D74*1.1)*E74),2)</f>
        <v>1709.84</v>
      </c>
    </row>
    <row r="75" spans="2:7" ht="15.75" x14ac:dyDescent="0.25">
      <c r="B75" s="300"/>
      <c r="C75" s="107" t="s">
        <v>211</v>
      </c>
      <c r="D75" s="66" cm="1">
        <f t="array" ref="D75">ROUND(SUM(G67:G68/100),2)</f>
        <v>1271</v>
      </c>
      <c r="E75" s="107">
        <v>0.61699999999999999</v>
      </c>
      <c r="F75" s="66">
        <f t="shared" ref="F75:F76" si="16">ROUND(SUM((D75*1.1)/12),0)</f>
        <v>117</v>
      </c>
      <c r="G75" s="136">
        <f t="shared" ref="G75:G76" si="17">ROUND(SUM((D75*1.1)*E75),2)</f>
        <v>862.63</v>
      </c>
    </row>
    <row r="76" spans="2:7" ht="15.75" x14ac:dyDescent="0.25">
      <c r="B76" s="300"/>
      <c r="C76" s="107" t="s">
        <v>202</v>
      </c>
      <c r="D76" s="66">
        <f>ROUND(SUM(G70/100),2)</f>
        <v>56.96</v>
      </c>
      <c r="E76" s="67">
        <v>1.5780000000000001</v>
      </c>
      <c r="F76" s="66">
        <f t="shared" si="16"/>
        <v>5</v>
      </c>
      <c r="G76" s="136">
        <f t="shared" si="17"/>
        <v>98.87</v>
      </c>
    </row>
    <row r="77" spans="2:7" ht="15.75" x14ac:dyDescent="0.25">
      <c r="B77" s="304" t="s">
        <v>208</v>
      </c>
      <c r="C77" s="305"/>
      <c r="D77" s="305"/>
      <c r="E77" s="305"/>
      <c r="F77" s="305"/>
      <c r="G77" s="138">
        <f>ROUND(SUM(G74:G75),2)</f>
        <v>2572.4699999999998</v>
      </c>
    </row>
    <row r="78" spans="2:7" x14ac:dyDescent="0.25">
      <c r="B78" s="306"/>
      <c r="C78" s="307"/>
      <c r="D78" s="307"/>
      <c r="E78" s="307"/>
      <c r="F78" s="307"/>
      <c r="G78" s="308"/>
    </row>
    <row r="79" spans="2:7" x14ac:dyDescent="0.25">
      <c r="B79" s="306"/>
      <c r="C79" s="307"/>
      <c r="D79" s="307"/>
      <c r="E79" s="307"/>
      <c r="F79" s="307"/>
      <c r="G79" s="308"/>
    </row>
    <row r="80" spans="2:7" x14ac:dyDescent="0.25">
      <c r="B80" s="306"/>
      <c r="C80" s="307"/>
      <c r="D80" s="307"/>
      <c r="E80" s="307"/>
      <c r="F80" s="307"/>
      <c r="G80" s="308"/>
    </row>
    <row r="81" spans="2:7" x14ac:dyDescent="0.25">
      <c r="B81" s="306"/>
      <c r="C81" s="307"/>
      <c r="D81" s="307"/>
      <c r="E81" s="307"/>
      <c r="F81" s="307"/>
      <c r="G81" s="308"/>
    </row>
    <row r="82" spans="2:7" ht="15.75" thickBot="1" x14ac:dyDescent="0.3">
      <c r="B82" s="309"/>
      <c r="C82" s="310"/>
      <c r="D82" s="310"/>
      <c r="E82" s="310"/>
      <c r="F82" s="310"/>
      <c r="G82" s="311"/>
    </row>
  </sheetData>
  <mergeCells count="38">
    <mergeCell ref="B1:G1"/>
    <mergeCell ref="B26:G26"/>
    <mergeCell ref="B37:G37"/>
    <mergeCell ref="B49:G49"/>
    <mergeCell ref="B61:G61"/>
    <mergeCell ref="B34:B35"/>
    <mergeCell ref="B36:F36"/>
    <mergeCell ref="B38:G38"/>
    <mergeCell ref="B40:B42"/>
    <mergeCell ref="B44:G44"/>
    <mergeCell ref="B15:G15"/>
    <mergeCell ref="B48:F48"/>
    <mergeCell ref="B50:G50"/>
    <mergeCell ref="B52:B54"/>
    <mergeCell ref="B55:G55"/>
    <mergeCell ref="B60:F60"/>
    <mergeCell ref="B78:G82"/>
    <mergeCell ref="B2:G2"/>
    <mergeCell ref="B4:B8"/>
    <mergeCell ref="D7:D8"/>
    <mergeCell ref="B9:G9"/>
    <mergeCell ref="B11:B13"/>
    <mergeCell ref="B14:F14"/>
    <mergeCell ref="B16:G16"/>
    <mergeCell ref="B18:B20"/>
    <mergeCell ref="B46:B47"/>
    <mergeCell ref="B21:G21"/>
    <mergeCell ref="B23:B24"/>
    <mergeCell ref="B25:F25"/>
    <mergeCell ref="B27:G27"/>
    <mergeCell ref="B29:B31"/>
    <mergeCell ref="B32:G32"/>
    <mergeCell ref="B57:B59"/>
    <mergeCell ref="B62:G62"/>
    <mergeCell ref="B72:G72"/>
    <mergeCell ref="B77:F77"/>
    <mergeCell ref="B64:B71"/>
    <mergeCell ref="B74:B76"/>
  </mergeCells>
  <pageMargins left="0.25" right="0.25" top="0.75" bottom="0.75" header="0.3" footer="0.3"/>
  <pageSetup paperSize="9" fitToHeight="0" orientation="portrait" r:id="rId1"/>
  <rowBreaks count="1" manualBreakCount="1">
    <brk id="37" min="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79E7-C4BB-4F29-9127-EC8163C871D9}">
  <sheetPr>
    <pageSetUpPr fitToPage="1"/>
  </sheetPr>
  <dimension ref="A1:J26"/>
  <sheetViews>
    <sheetView view="pageBreakPreview" zoomScale="80" zoomScaleNormal="100" zoomScaleSheetLayoutView="80" workbookViewId="0">
      <selection activeCell="D38" sqref="D38"/>
    </sheetView>
  </sheetViews>
  <sheetFormatPr defaultRowHeight="15" x14ac:dyDescent="0.25"/>
  <cols>
    <col min="1" max="1" width="12.140625" customWidth="1"/>
    <col min="2" max="2" width="26.7109375" customWidth="1"/>
    <col min="3" max="8" width="20.28515625" customWidth="1"/>
    <col min="9" max="10" width="14.28515625" customWidth="1"/>
  </cols>
  <sheetData>
    <row r="1" spans="1:10" s="68" customFormat="1" ht="24.75" customHeight="1" x14ac:dyDescent="0.25">
      <c r="A1" s="261" t="s">
        <v>381</v>
      </c>
      <c r="B1" s="262"/>
      <c r="C1" s="262"/>
      <c r="D1" s="262"/>
      <c r="E1" s="262"/>
      <c r="F1" s="262"/>
      <c r="G1" s="262"/>
      <c r="H1" s="262"/>
      <c r="I1" s="262"/>
      <c r="J1" s="263"/>
    </row>
    <row r="2" spans="1:10" s="68" customFormat="1" ht="24.75" customHeight="1" x14ac:dyDescent="0.25">
      <c r="A2" s="264"/>
      <c r="B2" s="265"/>
      <c r="C2" s="265"/>
      <c r="D2" s="265"/>
      <c r="E2" s="265"/>
      <c r="F2" s="265"/>
      <c r="G2" s="265"/>
      <c r="H2" s="265"/>
      <c r="I2" s="265"/>
      <c r="J2" s="266"/>
    </row>
    <row r="3" spans="1:10" s="68" customFormat="1" ht="31.5" customHeight="1" x14ac:dyDescent="0.25">
      <c r="A3" s="267" t="s">
        <v>365</v>
      </c>
      <c r="B3" s="268"/>
      <c r="C3" s="268"/>
      <c r="D3" s="268"/>
      <c r="E3" s="268"/>
      <c r="F3" s="269"/>
      <c r="G3" s="217" t="s">
        <v>170</v>
      </c>
      <c r="H3" s="167"/>
      <c r="I3" s="168">
        <f ca="1">TODAY()</f>
        <v>46204</v>
      </c>
      <c r="J3" s="169"/>
    </row>
    <row r="4" spans="1:10" s="68" customFormat="1" ht="15.75" x14ac:dyDescent="0.25">
      <c r="A4" s="270" t="s">
        <v>366</v>
      </c>
      <c r="B4" s="271"/>
      <c r="C4" s="271"/>
      <c r="D4" s="271"/>
      <c r="E4" s="271"/>
      <c r="F4" s="272"/>
      <c r="G4" s="173" t="s">
        <v>295</v>
      </c>
      <c r="H4" s="273"/>
      <c r="I4" s="273"/>
      <c r="J4" s="274"/>
    </row>
    <row r="5" spans="1:10" s="68" customFormat="1" ht="15.75" x14ac:dyDescent="0.25">
      <c r="A5" s="267" t="s">
        <v>350</v>
      </c>
      <c r="B5" s="268"/>
      <c r="C5" s="268"/>
      <c r="D5" s="268"/>
      <c r="E5" s="268"/>
      <c r="F5" s="269"/>
      <c r="G5" s="175" t="s">
        <v>171</v>
      </c>
      <c r="H5" s="175"/>
      <c r="I5" s="175"/>
      <c r="J5" s="174"/>
    </row>
    <row r="6" spans="1:10" s="68" customFormat="1" ht="15.75" x14ac:dyDescent="0.25">
      <c r="A6" s="275" t="s">
        <v>367</v>
      </c>
      <c r="B6" s="276"/>
      <c r="C6" s="276"/>
      <c r="D6" s="276"/>
      <c r="E6" s="276"/>
      <c r="F6" s="277"/>
      <c r="G6" s="104" t="s">
        <v>297</v>
      </c>
      <c r="H6" s="75" t="s">
        <v>298</v>
      </c>
      <c r="I6" s="102" t="s">
        <v>299</v>
      </c>
      <c r="J6" s="8" t="s">
        <v>300</v>
      </c>
    </row>
    <row r="7" spans="1:10" s="68" customFormat="1" ht="31.5" x14ac:dyDescent="0.25">
      <c r="A7" s="278" t="s">
        <v>301</v>
      </c>
      <c r="B7" s="279"/>
      <c r="C7" s="279"/>
      <c r="D7" s="279"/>
      <c r="E7" s="279"/>
      <c r="F7" s="280"/>
      <c r="G7" s="103" t="s">
        <v>302</v>
      </c>
      <c r="H7" s="77">
        <v>0.03</v>
      </c>
      <c r="I7" s="102" t="s">
        <v>303</v>
      </c>
      <c r="J7" s="77">
        <v>0.29349999999999998</v>
      </c>
    </row>
    <row r="8" spans="1:10" s="68" customFormat="1" ht="15.75" x14ac:dyDescent="0.25">
      <c r="A8" s="281"/>
      <c r="B8" s="273"/>
      <c r="C8" s="273"/>
      <c r="D8" s="273"/>
      <c r="E8" s="273"/>
      <c r="F8" s="273"/>
      <c r="G8" s="273"/>
      <c r="H8" s="273"/>
      <c r="I8" s="273"/>
      <c r="J8" s="274"/>
    </row>
    <row r="9" spans="1:10" ht="15.75" x14ac:dyDescent="0.25">
      <c r="A9" s="331" t="s">
        <v>369</v>
      </c>
      <c r="B9" s="332"/>
      <c r="C9" s="332"/>
      <c r="D9" s="332"/>
      <c r="E9" s="332"/>
      <c r="F9" s="332"/>
      <c r="G9" s="332"/>
      <c r="H9" s="142"/>
      <c r="I9" s="142"/>
      <c r="J9" s="148"/>
    </row>
    <row r="10" spans="1:10" ht="31.5" x14ac:dyDescent="0.25">
      <c r="A10" s="334" t="s">
        <v>370</v>
      </c>
      <c r="B10" s="335"/>
      <c r="C10" s="335"/>
      <c r="D10" s="335"/>
      <c r="E10" s="335"/>
      <c r="F10" s="143" t="s">
        <v>223</v>
      </c>
      <c r="G10" s="143" t="s">
        <v>224</v>
      </c>
      <c r="H10" s="143" t="s">
        <v>371</v>
      </c>
      <c r="I10" s="143" t="s">
        <v>372</v>
      </c>
      <c r="J10" s="149" t="s">
        <v>12</v>
      </c>
    </row>
    <row r="11" spans="1:10" ht="15.75" x14ac:dyDescent="0.25">
      <c r="A11" s="150" t="s">
        <v>373</v>
      </c>
      <c r="B11" s="336" t="s">
        <v>374</v>
      </c>
      <c r="C11" s="336"/>
      <c r="D11" s="336"/>
      <c r="E11" s="336"/>
      <c r="F11" s="144" t="s">
        <v>233</v>
      </c>
      <c r="G11" s="144" t="s">
        <v>375</v>
      </c>
      <c r="H11" s="145">
        <v>0.2</v>
      </c>
      <c r="I11" s="146">
        <v>8656.33</v>
      </c>
      <c r="J11" s="151">
        <v>1731.27</v>
      </c>
    </row>
    <row r="12" spans="1:10" ht="15.75" customHeight="1" x14ac:dyDescent="0.25">
      <c r="A12" s="341" t="s">
        <v>376</v>
      </c>
      <c r="B12" s="342"/>
      <c r="C12" s="342"/>
      <c r="D12" s="342"/>
      <c r="E12" s="342"/>
      <c r="F12" s="343"/>
      <c r="G12" s="147">
        <v>1731.27</v>
      </c>
      <c r="H12" s="333" t="s">
        <v>376</v>
      </c>
      <c r="I12" s="333"/>
      <c r="J12" s="152">
        <v>1731.27</v>
      </c>
    </row>
    <row r="13" spans="1:10" ht="31.5" x14ac:dyDescent="0.25">
      <c r="A13" s="334" t="s">
        <v>377</v>
      </c>
      <c r="B13" s="335"/>
      <c r="C13" s="335"/>
      <c r="D13" s="335"/>
      <c r="E13" s="335"/>
      <c r="F13" s="143" t="s">
        <v>223</v>
      </c>
      <c r="G13" s="143" t="s">
        <v>224</v>
      </c>
      <c r="H13" s="143" t="s">
        <v>371</v>
      </c>
      <c r="I13" s="143" t="s">
        <v>372</v>
      </c>
      <c r="J13" s="149" t="s">
        <v>12</v>
      </c>
    </row>
    <row r="14" spans="1:10" ht="15.75" x14ac:dyDescent="0.25">
      <c r="A14" s="150" t="s">
        <v>378</v>
      </c>
      <c r="B14" s="336" t="s">
        <v>379</v>
      </c>
      <c r="C14" s="336"/>
      <c r="D14" s="336"/>
      <c r="E14" s="336"/>
      <c r="F14" s="144" t="s">
        <v>233</v>
      </c>
      <c r="G14" s="144" t="s">
        <v>375</v>
      </c>
      <c r="H14" s="145">
        <v>0.1</v>
      </c>
      <c r="I14" s="146">
        <v>23029.46</v>
      </c>
      <c r="J14" s="151">
        <v>2302.9499999999998</v>
      </c>
    </row>
    <row r="15" spans="1:10" ht="15.75" x14ac:dyDescent="0.25">
      <c r="A15" s="153"/>
      <c r="B15" s="140"/>
      <c r="C15" s="140"/>
      <c r="D15" s="140"/>
      <c r="E15" s="141"/>
      <c r="F15" s="141"/>
      <c r="G15" s="141"/>
      <c r="H15" s="337" t="s">
        <v>380</v>
      </c>
      <c r="I15" s="338"/>
      <c r="J15" s="152">
        <v>2302.9499999999998</v>
      </c>
    </row>
    <row r="16" spans="1:10" ht="15.75" x14ac:dyDescent="0.25">
      <c r="A16" s="153"/>
      <c r="B16" s="140"/>
      <c r="C16" s="140"/>
      <c r="D16" s="140"/>
      <c r="E16" s="141"/>
      <c r="F16" s="141"/>
      <c r="G16" s="141"/>
      <c r="H16" s="339"/>
      <c r="I16" s="340"/>
      <c r="J16" s="154">
        <v>4034.22</v>
      </c>
    </row>
    <row r="17" spans="1:10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7"/>
    </row>
    <row r="18" spans="1:10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7"/>
    </row>
    <row r="19" spans="1:10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7"/>
    </row>
    <row r="20" spans="1:10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7"/>
    </row>
    <row r="21" spans="1:10" ht="15.75" x14ac:dyDescent="0.25">
      <c r="A21" s="155"/>
      <c r="B21" s="215" t="s">
        <v>176</v>
      </c>
      <c r="C21" s="215"/>
      <c r="D21" s="215"/>
      <c r="E21" s="41"/>
      <c r="F21" s="215" t="s">
        <v>326</v>
      </c>
      <c r="G21" s="215"/>
      <c r="H21" s="215"/>
      <c r="I21" s="215"/>
      <c r="J21" s="157"/>
    </row>
    <row r="22" spans="1:10" ht="15.75" x14ac:dyDescent="0.25">
      <c r="A22" s="155"/>
      <c r="B22" s="161" t="s">
        <v>177</v>
      </c>
      <c r="C22" s="161"/>
      <c r="D22" s="161"/>
      <c r="E22" s="41"/>
      <c r="F22" s="161" t="s">
        <v>327</v>
      </c>
      <c r="G22" s="161"/>
      <c r="H22" s="161"/>
      <c r="I22" s="161"/>
      <c r="J22" s="157"/>
    </row>
    <row r="23" spans="1:10" x14ac:dyDescent="0.25">
      <c r="A23" s="155"/>
      <c r="B23" s="156"/>
      <c r="C23" s="156"/>
      <c r="D23" s="156"/>
      <c r="E23" s="156"/>
      <c r="F23" s="156"/>
      <c r="G23" s="156"/>
      <c r="H23" s="156"/>
      <c r="I23" s="156"/>
      <c r="J23" s="157"/>
    </row>
    <row r="24" spans="1:10" x14ac:dyDescent="0.25">
      <c r="A24" s="155"/>
      <c r="B24" s="156"/>
      <c r="C24" s="156"/>
      <c r="D24" s="156"/>
      <c r="E24" s="156"/>
      <c r="F24" s="156"/>
      <c r="G24" s="156"/>
      <c r="H24" s="156"/>
      <c r="I24" s="156"/>
      <c r="J24" s="157"/>
    </row>
    <row r="25" spans="1:10" x14ac:dyDescent="0.25">
      <c r="A25" s="155"/>
      <c r="B25" s="156"/>
      <c r="C25" s="156"/>
      <c r="D25" s="156"/>
      <c r="E25" s="156"/>
      <c r="F25" s="156"/>
      <c r="G25" s="156"/>
      <c r="H25" s="156"/>
      <c r="I25" s="156"/>
      <c r="J25" s="157"/>
    </row>
    <row r="26" spans="1:10" ht="15.75" thickBot="1" x14ac:dyDescent="0.3">
      <c r="A26" s="158"/>
      <c r="B26" s="159"/>
      <c r="C26" s="159"/>
      <c r="D26" s="159"/>
      <c r="E26" s="159"/>
      <c r="F26" s="159"/>
      <c r="G26" s="159"/>
      <c r="H26" s="159"/>
      <c r="I26" s="159"/>
      <c r="J26" s="160"/>
    </row>
  </sheetData>
  <mergeCells count="24">
    <mergeCell ref="F22:I22"/>
    <mergeCell ref="B21:D21"/>
    <mergeCell ref="B22:D22"/>
    <mergeCell ref="H12:I12"/>
    <mergeCell ref="A10:E10"/>
    <mergeCell ref="A13:E13"/>
    <mergeCell ref="B11:E11"/>
    <mergeCell ref="B14:E14"/>
    <mergeCell ref="H15:I16"/>
    <mergeCell ref="A12:F12"/>
    <mergeCell ref="F21:I21"/>
    <mergeCell ref="A9:G9"/>
    <mergeCell ref="A1:J2"/>
    <mergeCell ref="A3:F3"/>
    <mergeCell ref="G3:H3"/>
    <mergeCell ref="I3:J3"/>
    <mergeCell ref="A4:F4"/>
    <mergeCell ref="G4:H4"/>
    <mergeCell ref="I4:J4"/>
    <mergeCell ref="A5:F5"/>
    <mergeCell ref="G5:J5"/>
    <mergeCell ref="A6:F6"/>
    <mergeCell ref="A7:F7"/>
    <mergeCell ref="A8:J8"/>
  </mergeCells>
  <pageMargins left="0.25" right="0.25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PLANILHA ORÇAMENTÁRIA </vt:lpstr>
      <vt:lpstr>MEMORIA DE CALCULO</vt:lpstr>
      <vt:lpstr>CRONOGRAMA </vt:lpstr>
      <vt:lpstr>RESUMO DE AÇO </vt:lpstr>
      <vt:lpstr>COMPOSIÇÃO</vt:lpstr>
      <vt:lpstr>'MEMORIA DE CALCULO'!Area_de_impressao</vt:lpstr>
      <vt:lpstr>'PLANILHA ORÇAMENTÁRIA '!Area_de_impressao</vt:lpstr>
      <vt:lpstr>'RESUMO DE AÇO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kmari</dc:creator>
  <cp:lastModifiedBy>Káren Mariana Soares Vieira</cp:lastModifiedBy>
  <cp:lastPrinted>2026-07-01T12:32:48Z</cp:lastPrinted>
  <dcterms:created xsi:type="dcterms:W3CDTF">2025-06-04T14:04:20Z</dcterms:created>
  <dcterms:modified xsi:type="dcterms:W3CDTF">2026-07-01T12:37:29Z</dcterms:modified>
</cp:coreProperties>
</file>